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on-MS\TRAF Calculators\TRAF Contribution Calculator\Working Copy\"/>
    </mc:Choice>
  </mc:AlternateContent>
  <xr:revisionPtr revIDLastSave="0" documentId="13_ncr:1_{9AE62951-F37F-481A-9019-2A99FAD06BE9}" xr6:coauthVersionLast="47" xr6:coauthVersionMax="47" xr10:uidLastSave="{00000000-0000-0000-0000-000000000000}"/>
  <workbookProtection workbookAlgorithmName="SHA-512" workbookHashValue="iLX16T3wwaXCan7gxBUT2trsqzCLGntN/J9dqO47fZ4BnGWV6eZpzi/K4XU7GgRAQawFZfBp8rH8P0kHUFaxOg==" workbookSaltValue="82kAOuT2HtjBVbYTs0KcLw==" workbookSpinCount="100000" lockStructure="1"/>
  <bookViews>
    <workbookView xWindow="28680" yWindow="-120" windowWidth="29040" windowHeight="15720" tabRatio="267" xr2:uid="{F46D9D8C-4000-43EA-A35E-EB7922A2F272}"/>
  </bookViews>
  <sheets>
    <sheet name="2025-2026" sheetId="22" r:id="rId1"/>
    <sheet name="2024-2025" sheetId="20" r:id="rId2"/>
    <sheet name="2023-2024" sheetId="18" r:id="rId3"/>
    <sheet name="2022-2023" sheetId="19" r:id="rId4"/>
    <sheet name="2021-2022" sheetId="21" state="hidden" r:id="rId5"/>
    <sheet name="2020-2021" sheetId="12" state="hidden" r:id="rId6"/>
    <sheet name="TABLES" sheetId="9" r:id="rId7"/>
  </sheets>
  <definedNames>
    <definedName name="_xlnm.Print_Area" localSheetId="4">'2021-2022'!$A$1:$K$109</definedName>
    <definedName name="_xlnm.Print_Area" localSheetId="3">'2022-2023'!$A$1:$K$109</definedName>
    <definedName name="_xlnm.Print_Area" localSheetId="2">'2023-2024'!$A$1:$K$109</definedName>
    <definedName name="_xlnm.Print_Area" localSheetId="1">'2024-2025'!$A$1:$K$109</definedName>
    <definedName name="_xlnm.Print_Area" localSheetId="0">'2025-2026'!$A$1:$K$109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22" l="1"/>
  <c r="E31" i="22"/>
  <c r="E32" i="22"/>
  <c r="E33" i="22"/>
  <c r="E29" i="22"/>
  <c r="B33" i="22"/>
  <c r="B32" i="22"/>
  <c r="B31" i="22"/>
  <c r="J106" i="22"/>
  <c r="G105" i="22"/>
  <c r="I105" i="22" s="1"/>
  <c r="C105" i="22"/>
  <c r="D105" i="22" s="1"/>
  <c r="C104" i="22"/>
  <c r="D104" i="22" s="1"/>
  <c r="D103" i="22"/>
  <c r="C103" i="22"/>
  <c r="G103" i="22" s="1"/>
  <c r="I103" i="22" s="1"/>
  <c r="D102" i="22"/>
  <c r="C102" i="22"/>
  <c r="G102" i="22" s="1"/>
  <c r="I102" i="22" s="1"/>
  <c r="J84" i="22"/>
  <c r="C83" i="22"/>
  <c r="G83" i="22" s="1"/>
  <c r="I83" i="22" s="1"/>
  <c r="D82" i="22"/>
  <c r="C82" i="22"/>
  <c r="G82" i="22" s="1"/>
  <c r="I82" i="22" s="1"/>
  <c r="D81" i="22"/>
  <c r="C81" i="22"/>
  <c r="G81" i="22" s="1"/>
  <c r="I81" i="22" s="1"/>
  <c r="D80" i="22"/>
  <c r="C80" i="22"/>
  <c r="G80" i="22" s="1"/>
  <c r="I80" i="22" s="1"/>
  <c r="J34" i="22"/>
  <c r="C33" i="22"/>
  <c r="C32" i="22"/>
  <c r="C31" i="22"/>
  <c r="D30" i="22"/>
  <c r="B30" i="22"/>
  <c r="C30" i="22" s="1"/>
  <c r="G30" i="22" s="1"/>
  <c r="I30" i="22" s="1"/>
  <c r="D29" i="22"/>
  <c r="B29" i="22"/>
  <c r="C29" i="22" s="1"/>
  <c r="G29" i="22" s="1"/>
  <c r="I29" i="22" s="1"/>
  <c r="D28" i="22"/>
  <c r="C28" i="22"/>
  <c r="G28" i="22" s="1"/>
  <c r="I28" i="22" s="1"/>
  <c r="B20" i="22"/>
  <c r="B19" i="22"/>
  <c r="G83" i="20"/>
  <c r="I83" i="20" s="1"/>
  <c r="G82" i="20"/>
  <c r="I82" i="20" s="1"/>
  <c r="G81" i="20"/>
  <c r="I81" i="20" s="1"/>
  <c r="G80" i="20"/>
  <c r="I80" i="20" s="1"/>
  <c r="J106" i="21"/>
  <c r="C105" i="21"/>
  <c r="D105" i="21" s="1"/>
  <c r="C104" i="21"/>
  <c r="D104" i="21" s="1"/>
  <c r="D103" i="21"/>
  <c r="C103" i="21"/>
  <c r="G103" i="21" s="1"/>
  <c r="I103" i="21" s="1"/>
  <c r="D102" i="21"/>
  <c r="C102" i="21"/>
  <c r="G102" i="21" s="1"/>
  <c r="I102" i="21" s="1"/>
  <c r="J84" i="21"/>
  <c r="C83" i="21"/>
  <c r="D83" i="21" s="1"/>
  <c r="C82" i="21"/>
  <c r="D82" i="21" s="1"/>
  <c r="D81" i="21"/>
  <c r="C81" i="21"/>
  <c r="G81" i="21" s="1"/>
  <c r="I81" i="21" s="1"/>
  <c r="D80" i="21"/>
  <c r="C80" i="21"/>
  <c r="G80" i="21"/>
  <c r="I80" i="21" s="1"/>
  <c r="J34" i="21"/>
  <c r="C33" i="21"/>
  <c r="D33" i="21" s="1"/>
  <c r="C32" i="21"/>
  <c r="D32" i="21" s="1"/>
  <c r="C31" i="21"/>
  <c r="D31" i="21" s="1"/>
  <c r="D30" i="21"/>
  <c r="C30" i="21"/>
  <c r="D29" i="21"/>
  <c r="C29" i="21"/>
  <c r="D28" i="21"/>
  <c r="C28" i="21"/>
  <c r="B20" i="21"/>
  <c r="B19" i="21"/>
  <c r="G29" i="21" s="1"/>
  <c r="I29" i="21" s="1"/>
  <c r="B33" i="20"/>
  <c r="C33" i="20"/>
  <c r="B32" i="20"/>
  <c r="C32" i="20"/>
  <c r="D32" i="20" s="1"/>
  <c r="A20" i="20"/>
  <c r="B20" i="20"/>
  <c r="B30" i="20"/>
  <c r="C30" i="20"/>
  <c r="B29" i="20"/>
  <c r="A19" i="20"/>
  <c r="J106" i="20"/>
  <c r="C105" i="20"/>
  <c r="D105" i="20" s="1"/>
  <c r="G105" i="20"/>
  <c r="I105" i="20" s="1"/>
  <c r="C104" i="20"/>
  <c r="G104" i="20" s="1"/>
  <c r="I104" i="20" s="1"/>
  <c r="D103" i="20"/>
  <c r="C103" i="20"/>
  <c r="G103" i="20"/>
  <c r="I103" i="20" s="1"/>
  <c r="D102" i="20"/>
  <c r="C102" i="20"/>
  <c r="G102" i="20" s="1"/>
  <c r="I102" i="20" s="1"/>
  <c r="J84" i="20"/>
  <c r="C83" i="20"/>
  <c r="D83" i="20" s="1"/>
  <c r="C82" i="20"/>
  <c r="D81" i="20"/>
  <c r="C81" i="20"/>
  <c r="D80" i="20"/>
  <c r="C80" i="20"/>
  <c r="J34" i="20"/>
  <c r="C31" i="20"/>
  <c r="D30" i="20"/>
  <c r="D29" i="20"/>
  <c r="C29" i="20"/>
  <c r="G29" i="20" s="1"/>
  <c r="I29" i="20" s="1"/>
  <c r="D28" i="20"/>
  <c r="C28" i="20"/>
  <c r="B19" i="20"/>
  <c r="J84" i="18"/>
  <c r="J106" i="19"/>
  <c r="C105" i="19"/>
  <c r="D105" i="19" s="1"/>
  <c r="G105" i="19"/>
  <c r="I105" i="19"/>
  <c r="C104" i="19"/>
  <c r="G104" i="19" s="1"/>
  <c r="I104" i="19" s="1"/>
  <c r="D103" i="19"/>
  <c r="C103" i="19"/>
  <c r="G103" i="19" s="1"/>
  <c r="I103" i="19" s="1"/>
  <c r="D102" i="19"/>
  <c r="C102" i="19"/>
  <c r="G102" i="19" s="1"/>
  <c r="I102" i="19" s="1"/>
  <c r="J84" i="19"/>
  <c r="C83" i="19"/>
  <c r="D83" i="19" s="1"/>
  <c r="C82" i="19"/>
  <c r="G82" i="19" s="1"/>
  <c r="I82" i="19" s="1"/>
  <c r="D81" i="19"/>
  <c r="C81" i="19"/>
  <c r="G81" i="19"/>
  <c r="I81" i="19" s="1"/>
  <c r="D80" i="19"/>
  <c r="C80" i="19"/>
  <c r="G80" i="19" s="1"/>
  <c r="I80" i="19" s="1"/>
  <c r="J34" i="19"/>
  <c r="C33" i="19"/>
  <c r="D33" i="19" s="1"/>
  <c r="C32" i="19"/>
  <c r="D32" i="19" s="1"/>
  <c r="C31" i="19"/>
  <c r="D31" i="19" s="1"/>
  <c r="D30" i="19"/>
  <c r="C30" i="19"/>
  <c r="D29" i="19"/>
  <c r="C29" i="19"/>
  <c r="D28" i="19"/>
  <c r="C28" i="19"/>
  <c r="B20" i="19"/>
  <c r="B19" i="19"/>
  <c r="J106" i="18"/>
  <c r="C105" i="18"/>
  <c r="D105" i="18" s="1"/>
  <c r="C104" i="18"/>
  <c r="D104" i="18" s="1"/>
  <c r="D103" i="18"/>
  <c r="C103" i="18"/>
  <c r="G103" i="18" s="1"/>
  <c r="I103" i="18" s="1"/>
  <c r="D102" i="18"/>
  <c r="C102" i="18"/>
  <c r="G102" i="18" s="1"/>
  <c r="I102" i="18" s="1"/>
  <c r="C83" i="18"/>
  <c r="D83" i="18" s="1"/>
  <c r="C82" i="18"/>
  <c r="G82" i="18" s="1"/>
  <c r="I82" i="18" s="1"/>
  <c r="D81" i="18"/>
  <c r="C81" i="18"/>
  <c r="G81" i="18"/>
  <c r="I81" i="18" s="1"/>
  <c r="D80" i="18"/>
  <c r="C80" i="18"/>
  <c r="G80" i="18"/>
  <c r="I80" i="18"/>
  <c r="J34" i="18"/>
  <c r="C33" i="18"/>
  <c r="D33" i="18" s="1"/>
  <c r="C32" i="18"/>
  <c r="D32" i="18" s="1"/>
  <c r="C31" i="18"/>
  <c r="D31" i="18" s="1"/>
  <c r="D30" i="18"/>
  <c r="C30" i="18"/>
  <c r="D29" i="18"/>
  <c r="C29" i="18"/>
  <c r="D28" i="18"/>
  <c r="C28" i="18"/>
  <c r="B20" i="18"/>
  <c r="B19" i="18"/>
  <c r="G29" i="18" s="1"/>
  <c r="I29" i="18" s="1"/>
  <c r="J81" i="12"/>
  <c r="C80" i="12"/>
  <c r="D80" i="12" s="1"/>
  <c r="C79" i="12"/>
  <c r="D79" i="12" s="1"/>
  <c r="D78" i="12"/>
  <c r="C78" i="12"/>
  <c r="G78" i="12" s="1"/>
  <c r="I78" i="12" s="1"/>
  <c r="D77" i="12"/>
  <c r="C77" i="12"/>
  <c r="G77" i="12" s="1"/>
  <c r="I77" i="12" s="1"/>
  <c r="J59" i="12"/>
  <c r="C58" i="12"/>
  <c r="G58" i="12" s="1"/>
  <c r="I58" i="12" s="1"/>
  <c r="C57" i="12"/>
  <c r="G57" i="12" s="1"/>
  <c r="I57" i="12" s="1"/>
  <c r="D57" i="12"/>
  <c r="D56" i="12"/>
  <c r="C56" i="12"/>
  <c r="G56" i="12" s="1"/>
  <c r="I56" i="12" s="1"/>
  <c r="D55" i="12"/>
  <c r="C55" i="12"/>
  <c r="G55" i="12" s="1"/>
  <c r="I55" i="12" s="1"/>
  <c r="J29" i="12"/>
  <c r="C28" i="12"/>
  <c r="D28" i="12" s="1"/>
  <c r="C27" i="12"/>
  <c r="D27" i="12" s="1"/>
  <c r="C26" i="12"/>
  <c r="D26" i="12" s="1"/>
  <c r="D25" i="12"/>
  <c r="C25" i="12"/>
  <c r="D24" i="12"/>
  <c r="C24" i="12"/>
  <c r="D23" i="12"/>
  <c r="C23" i="12"/>
  <c r="M19" i="12"/>
  <c r="M18" i="12"/>
  <c r="G32" i="21"/>
  <c r="I32" i="21" s="1"/>
  <c r="G83" i="21"/>
  <c r="I83" i="21" s="1"/>
  <c r="G31" i="22" l="1"/>
  <c r="I31" i="22" s="1"/>
  <c r="D32" i="22"/>
  <c r="G32" i="22"/>
  <c r="I32" i="22" s="1"/>
  <c r="G33" i="22"/>
  <c r="I33" i="22" s="1"/>
  <c r="D33" i="22"/>
  <c r="I84" i="22"/>
  <c r="I85" i="22" s="1"/>
  <c r="D31" i="22"/>
  <c r="G104" i="22"/>
  <c r="I104" i="22" s="1"/>
  <c r="I106" i="22" s="1"/>
  <c r="I107" i="22" s="1"/>
  <c r="D83" i="22"/>
  <c r="G24" i="12"/>
  <c r="I24" i="12" s="1"/>
  <c r="G30" i="19"/>
  <c r="I30" i="19" s="1"/>
  <c r="G26" i="12"/>
  <c r="I26" i="12" s="1"/>
  <c r="G83" i="18"/>
  <c r="I83" i="18" s="1"/>
  <c r="I84" i="18" s="1"/>
  <c r="I85" i="18" s="1"/>
  <c r="G83" i="19"/>
  <c r="I83" i="19" s="1"/>
  <c r="I84" i="19" s="1"/>
  <c r="I85" i="19" s="1"/>
  <c r="G23" i="12"/>
  <c r="I23" i="12" s="1"/>
  <c r="D82" i="20"/>
  <c r="G32" i="20"/>
  <c r="I32" i="20" s="1"/>
  <c r="G31" i="20"/>
  <c r="I31" i="20" s="1"/>
  <c r="G25" i="12"/>
  <c r="I25" i="12" s="1"/>
  <c r="G28" i="18"/>
  <c r="I28" i="18" s="1"/>
  <c r="G33" i="20"/>
  <c r="I33" i="20" s="1"/>
  <c r="G105" i="18"/>
  <c r="I105" i="18" s="1"/>
  <c r="G31" i="19"/>
  <c r="I31" i="19" s="1"/>
  <c r="G31" i="21"/>
  <c r="I31" i="21" s="1"/>
  <c r="G104" i="18"/>
  <c r="I104" i="18" s="1"/>
  <c r="G27" i="12"/>
  <c r="I27" i="12" s="1"/>
  <c r="G29" i="19"/>
  <c r="I29" i="19" s="1"/>
  <c r="D82" i="18"/>
  <c r="G28" i="12"/>
  <c r="I28" i="12" s="1"/>
  <c r="G32" i="18"/>
  <c r="I32" i="18" s="1"/>
  <c r="G28" i="21"/>
  <c r="I28" i="21" s="1"/>
  <c r="G28" i="20"/>
  <c r="I28" i="20" s="1"/>
  <c r="G30" i="20"/>
  <c r="I30" i="20" s="1"/>
  <c r="G30" i="21"/>
  <c r="I30" i="21" s="1"/>
  <c r="G30" i="18"/>
  <c r="I30" i="18" s="1"/>
  <c r="D58" i="12"/>
  <c r="G80" i="12"/>
  <c r="I80" i="12" s="1"/>
  <c r="D104" i="20"/>
  <c r="G28" i="19"/>
  <c r="I28" i="19" s="1"/>
  <c r="I106" i="19"/>
  <c r="I107" i="19" s="1"/>
  <c r="I59" i="12"/>
  <c r="I60" i="12" s="1"/>
  <c r="I106" i="20"/>
  <c r="I107" i="20" s="1"/>
  <c r="G32" i="19"/>
  <c r="I32" i="19" s="1"/>
  <c r="G79" i="12"/>
  <c r="I79" i="12" s="1"/>
  <c r="D31" i="20"/>
  <c r="G33" i="18"/>
  <c r="I33" i="18" s="1"/>
  <c r="G31" i="18"/>
  <c r="I31" i="18" s="1"/>
  <c r="D82" i="19"/>
  <c r="D33" i="20"/>
  <c r="G33" i="21"/>
  <c r="I33" i="21" s="1"/>
  <c r="G33" i="19"/>
  <c r="I33" i="19" s="1"/>
  <c r="I84" i="20"/>
  <c r="I85" i="20" s="1"/>
  <c r="D104" i="19"/>
  <c r="G105" i="21"/>
  <c r="I105" i="21" s="1"/>
  <c r="G104" i="21"/>
  <c r="I104" i="21" s="1"/>
  <c r="G82" i="21"/>
  <c r="I82" i="21" s="1"/>
  <c r="I84" i="21" s="1"/>
  <c r="I85" i="21" s="1"/>
  <c r="I34" i="22" l="1"/>
  <c r="I35" i="22" s="1"/>
  <c r="I37" i="22" s="1"/>
  <c r="I106" i="18"/>
  <c r="I107" i="18" s="1"/>
  <c r="I34" i="20"/>
  <c r="I35" i="20" s="1"/>
  <c r="I37" i="20" s="1"/>
  <c r="I29" i="12"/>
  <c r="I30" i="12" s="1"/>
  <c r="I32" i="12" s="1"/>
  <c r="I34" i="21"/>
  <c r="I35" i="21" s="1"/>
  <c r="I37" i="21" s="1"/>
  <c r="I34" i="18"/>
  <c r="I35" i="18" s="1"/>
  <c r="I37" i="18" s="1"/>
  <c r="I81" i="12"/>
  <c r="I82" i="12" s="1"/>
  <c r="I34" i="19"/>
  <c r="I35" i="19" s="1"/>
  <c r="I37" i="19" s="1"/>
  <c r="I106" i="21"/>
  <c r="I107" i="21" s="1"/>
</calcChain>
</file>

<file path=xl/sharedStrings.xml><?xml version="1.0" encoding="utf-8"?>
<sst xmlns="http://schemas.openxmlformats.org/spreadsheetml/2006/main" count="826" uniqueCount="83">
  <si>
    <t>Instructions:</t>
  </si>
  <si>
    <t>Enter below amounts if contractual</t>
  </si>
  <si>
    <t>Annual Contractual Pensionable Salary:</t>
  </si>
  <si>
    <t>Term</t>
  </si>
  <si>
    <t>School</t>
  </si>
  <si>
    <t>YMPE</t>
  </si>
  <si>
    <t>Daily</t>
  </si>
  <si>
    <t>Days in</t>
  </si>
  <si>
    <t>Percentage</t>
  </si>
  <si>
    <t>TRAF</t>
  </si>
  <si>
    <t>Days</t>
  </si>
  <si>
    <t>NSPE</t>
  </si>
  <si>
    <t>Year</t>
  </si>
  <si>
    <t>Rate</t>
  </si>
  <si>
    <t>Working Year</t>
  </si>
  <si>
    <t>of Service</t>
  </si>
  <si>
    <t>Deductions</t>
  </si>
  <si>
    <t>Paid</t>
  </si>
  <si>
    <t>Earnings</t>
  </si>
  <si>
    <t xml:space="preserve">Fall </t>
  </si>
  <si>
    <t xml:space="preserve">Spring </t>
  </si>
  <si>
    <t xml:space="preserve">Total TRAF Contributions Required </t>
  </si>
  <si>
    <t>To figure out how much the final TRAF deduction should be:</t>
  </si>
  <si>
    <t>To figure out how much TRAF should be deducted:</t>
  </si>
  <si>
    <t>Example:</t>
  </si>
  <si>
    <t>Yellow fields are fillable.</t>
  </si>
  <si>
    <t>Blue fields have formulas.  Do not enter information into these fields.</t>
  </si>
  <si>
    <t>Fall</t>
  </si>
  <si>
    <t>Row 1 required</t>
  </si>
  <si>
    <t>Row 2 if changed</t>
  </si>
  <si>
    <t>Spring</t>
  </si>
  <si>
    <t>Owed</t>
  </si>
  <si>
    <t xml:space="preserve">This calculator is for information purposes and may not be appropriate for every situation. You assume the risk associated with its use.  </t>
  </si>
  <si>
    <t>The calculations are based on the information you provide. Therefore it is important that you enter accurate information.</t>
  </si>
  <si>
    <t>See examples below.</t>
  </si>
  <si>
    <t>Enter any NSPE earnings.</t>
  </si>
  <si>
    <t>Total TRAF contributions required less amount already deducted for the school year is the amount the TRAF deduction should be on the final pay.</t>
  </si>
  <si>
    <t>pay to equal this amount.</t>
  </si>
  <si>
    <t>salary is higher than salaries listed below.</t>
  </si>
  <si>
    <t>TRAF Contribution Calculator</t>
  </si>
  <si>
    <t>Enter $80,000 in both required fields.</t>
  </si>
  <si>
    <t>Enter the number of Days Paid in Fall and Spring. Note: The days are 42 for the .5 time, not 21.</t>
  </si>
  <si>
    <t>Enter $80,000 in Spring Row 1 and $82,500 in Spring Row 2.</t>
  </si>
  <si>
    <t>Notes:</t>
  </si>
  <si>
    <t>A teacher on a $80,000 contract, worked 50% September and October 2020 and then 100% and terminates on March 31, 2021 with $120 NSPE.</t>
  </si>
  <si>
    <t>TABLES:</t>
  </si>
  <si>
    <t>Max Salary</t>
  </si>
  <si>
    <t>Disclaimer:</t>
  </si>
  <si>
    <t>A teacher on a $80,000 contract worked only from February 1, 2020 – June 30, 2020 and incremented to $82,500 on April 1, 2020.</t>
  </si>
  <si>
    <t>Total TRAF contributions required is $3,807.54.  You can either divide this amount over the number of pay periods remaining or adjust the final</t>
  </si>
  <si>
    <t>Row 3 if changed</t>
  </si>
  <si>
    <t xml:space="preserve">Total TRAF Contributions Already Remitted </t>
  </si>
  <si>
    <t xml:space="preserve">Total TRAF Contributions Outstanding </t>
  </si>
  <si>
    <t>A teacher on an $80,000 contract, worked 50% September and October 2022 and then 100% and terminates on March 31, 2023 with $120 NSPE.</t>
  </si>
  <si>
    <t>A teacher on an $80,000 contract worked only from February 1, 2023 – June 30, 2023 and incremented to $82,500 on April 1, 2023.</t>
  </si>
  <si>
    <t>Total TRAF contributions required is $3,843.42.  You can either divide this amount over the number of pay periods remaining or adjust the final</t>
  </si>
  <si>
    <t>Enter the number of Days Paid in Fall and Spring. Note: The days are 38 for the .5 time, not 19.</t>
  </si>
  <si>
    <t>Enter 50 in the Percentage of Service field for the 1st row only.</t>
  </si>
  <si>
    <t>Enter the number of Days Paid February 1 – March 31 (37) in 1st Spring Row and the Days Paid April – June (63) in the next Spring Row.</t>
  </si>
  <si>
    <r>
      <rPr>
        <b/>
        <sz val="10"/>
        <color indexed="8"/>
        <rFont val="Calibri"/>
        <family val="2"/>
      </rPr>
      <t>1.</t>
    </r>
    <r>
      <rPr>
        <sz val="10"/>
        <color indexed="8"/>
        <rFont val="Calibri"/>
        <family val="2"/>
      </rPr>
      <t xml:space="preserve">  Enter full time annual contractual pensionable salary (salary maximums in red box).</t>
    </r>
  </si>
  <si>
    <r>
      <rPr>
        <b/>
        <sz val="10"/>
        <color indexed="8"/>
        <rFont val="Calibri"/>
        <family val="2"/>
      </rPr>
      <t>2.</t>
    </r>
    <r>
      <rPr>
        <sz val="10"/>
        <color indexed="8"/>
        <rFont val="Calibri"/>
        <family val="2"/>
      </rPr>
      <t xml:space="preserve">  Ensure the school year is correct.</t>
    </r>
  </si>
  <si>
    <r>
      <rPr>
        <b/>
        <sz val="10"/>
        <color indexed="8"/>
        <rFont val="Calibri"/>
        <family val="2"/>
      </rPr>
      <t>3.</t>
    </r>
    <r>
      <rPr>
        <sz val="10"/>
        <color indexed="8"/>
        <rFont val="Calibri"/>
        <family val="2"/>
      </rPr>
      <t xml:space="preserve">  Ensure the number of days in the working year are correct.</t>
    </r>
  </si>
  <si>
    <r>
      <rPr>
        <b/>
        <sz val="10"/>
        <color indexed="8"/>
        <rFont val="Calibri"/>
        <family val="2"/>
      </rPr>
      <t xml:space="preserve">4. </t>
    </r>
    <r>
      <rPr>
        <sz val="10"/>
        <color indexed="8"/>
        <rFont val="Calibri"/>
        <family val="2"/>
      </rPr>
      <t xml:space="preserve"> Enter the percent the teacher works.</t>
    </r>
  </si>
  <si>
    <r>
      <rPr>
        <b/>
        <sz val="10"/>
        <color indexed="8"/>
        <rFont val="Calibri"/>
        <family val="2"/>
      </rPr>
      <t xml:space="preserve">5. </t>
    </r>
    <r>
      <rPr>
        <sz val="10"/>
        <color indexed="8"/>
        <rFont val="Calibri"/>
        <family val="2"/>
      </rPr>
      <t xml:space="preserve"> Enter the number of days worked in the term (i.e., 50% teacher working 78 days in fall would have 78 entered, not 39).</t>
    </r>
  </si>
  <si>
    <r>
      <rPr>
        <b/>
        <sz val="10"/>
        <color indexed="8"/>
        <rFont val="Calibri"/>
        <family val="2"/>
      </rPr>
      <t xml:space="preserve">6. </t>
    </r>
    <r>
      <rPr>
        <sz val="10"/>
        <color indexed="8"/>
        <rFont val="Calibri"/>
        <family val="2"/>
      </rPr>
      <t xml:space="preserve"> Enter any NSPE (earnings paid per day like acting head teacher/principal pay).</t>
    </r>
  </si>
  <si>
    <r>
      <t>Enter 50 in the Percentage of Service field for the 1</t>
    </r>
    <r>
      <rPr>
        <vertAlign val="superscript"/>
        <sz val="10"/>
        <rFont val="Calibri"/>
        <family val="2"/>
      </rPr>
      <t>st</t>
    </r>
    <r>
      <rPr>
        <sz val="10"/>
        <rFont val="Calibri"/>
        <family val="2"/>
      </rPr>
      <t xml:space="preserve"> row only.</t>
    </r>
  </si>
  <si>
    <r>
      <t>Enter the number of Days Paid February 1 – March 31 (39) in 1</t>
    </r>
    <r>
      <rPr>
        <vertAlign val="superscript"/>
        <sz val="10"/>
        <rFont val="Calibri"/>
        <family val="2"/>
      </rPr>
      <t>st</t>
    </r>
    <r>
      <rPr>
        <sz val="10"/>
        <rFont val="Calibri"/>
        <family val="2"/>
      </rPr>
      <t xml:space="preserve"> Spring Row and the Days Paid April – June (60) in the next Spring Row.</t>
    </r>
  </si>
  <si>
    <t>A teacher on an $80,000 contract, worked 50% September and October 2023 and then 100% and terminates on March 31, 2024 with $120 NSPE.</t>
  </si>
  <si>
    <t>Enter the number of Days Paid in Fall and Spring. Note: The days are 40 for the .5 time, not 20.</t>
  </si>
  <si>
    <t>A teacher on an $80,000 contract worked only from February 1, 2024 – June 30, 2024 and incremented to $82,500 on April 1, 2024.</t>
  </si>
  <si>
    <t>Enter the number of Days Paid February 1 – March 31 (36) in 1st Spring Row and the Days Paid April – June (64) in the next Spring Row.</t>
  </si>
  <si>
    <t>Total TRAF contributions required is $3,770.48.  You can either divide this amount over the number of pay periods remaining or adjust the final</t>
  </si>
  <si>
    <r>
      <rPr>
        <b/>
        <sz val="10"/>
        <color indexed="8"/>
        <rFont val="Calibri"/>
        <family val="2"/>
      </rPr>
      <t xml:space="preserve">5. </t>
    </r>
    <r>
      <rPr>
        <sz val="10"/>
        <color indexed="8"/>
        <rFont val="Calibri"/>
        <family val="2"/>
      </rPr>
      <t xml:space="preserve"> Enter the number of days worked in the term (i.e., 50% teacher working 76 days in fall would have 76 entered, not 38).</t>
    </r>
  </si>
  <si>
    <t>A teacher on a $80,000 contract, worked 50% September and October 2021 and then 100% and terminates on March 31, 2022 with $120 NSPE.</t>
  </si>
  <si>
    <t>Enter the number of Days Paid in Fall and Spring. Note: The days are 37 for the .5 time, not 18.5.</t>
  </si>
  <si>
    <t>A teacher on a $80,000 contract worked only from February 1, 2022 – June 30, 2022 and incremented to $82,500 on April 1, 2022.</t>
  </si>
  <si>
    <t>Enter the number of Days Paid February 1 – March 31 (38) in 1st Spring Row and the Days Paid April – June (62) in the next Spring Row.</t>
  </si>
  <si>
    <t>Total TRAF contributions required is $3,876.70.  You can either divide this amount over the number of pay periods remaining or adjust the final</t>
  </si>
  <si>
    <t>A teacher on an $80,000 contract, worked 50% September and October 2024 and then 100% and terminates on March 31, 2025 with $120 NSPE.</t>
  </si>
  <si>
    <t>Enter the number of Days Paid in Fall and Spring. Note: The days are 41 for the .5 time, not 20.5.</t>
  </si>
  <si>
    <t>A teacher on an $80,000 contract worked only from February 1, 2025 – June 30, 2025 and incremented to $82,500 on April 1, 2025.</t>
  </si>
  <si>
    <t>Enter the number of Days Paid February 1 – March 31 (39) in 1st Spring Row and the Days Paid April – June (58) in the next Spring Row.</t>
  </si>
  <si>
    <t>Total TRAF contributions required is $3,686.70.  You can either divide this amount over the number of pay periods remaining or adjust the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</si>
</sst>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1009]#,##0.00;[Red]\-[$$-1009]#,##0.00"/>
    <numFmt numFmtId="165" formatCode="[$$-409]#,##0;[Red]\-[$$-409]#,##0"/>
  </numFmts>
  <fonts count="13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44"/>
      <name val="Calibri"/>
      <family val="2"/>
      <scheme val="minor"/>
    </font>
    <font>
      <b/>
      <sz val="10"/>
      <color indexed="4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>
      <alignment vertical="top"/>
    </xf>
  </cellStyleXfs>
  <cellXfs count="11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6" borderId="0" xfId="0" applyFont="1" applyFill="1"/>
    <xf numFmtId="2" fontId="8" fillId="0" borderId="0" xfId="0" applyNumberFormat="1" applyFont="1"/>
    <xf numFmtId="2" fontId="7" fillId="0" borderId="0" xfId="0" applyNumberFormat="1" applyFont="1"/>
    <xf numFmtId="2" fontId="6" fillId="7" borderId="1" xfId="0" applyNumberFormat="1" applyFont="1" applyFill="1" applyBorder="1" applyProtection="1">
      <protection locked="0"/>
    </xf>
    <xf numFmtId="2" fontId="7" fillId="7" borderId="2" xfId="0" applyNumberFormat="1" applyFont="1" applyFill="1" applyBorder="1" applyProtection="1">
      <protection locked="0"/>
    </xf>
    <xf numFmtId="2" fontId="7" fillId="7" borderId="3" xfId="0" applyNumberFormat="1" applyFont="1" applyFill="1" applyBorder="1" applyProtection="1">
      <protection locked="0"/>
    </xf>
    <xf numFmtId="2" fontId="6" fillId="0" borderId="0" xfId="0" applyNumberFormat="1" applyFont="1" applyAlignment="1">
      <alignment horizontal="center"/>
    </xf>
    <xf numFmtId="2" fontId="6" fillId="7" borderId="4" xfId="0" applyNumberFormat="1" applyFont="1" applyFill="1" applyBorder="1" applyProtection="1">
      <protection locked="0"/>
    </xf>
    <xf numFmtId="2" fontId="7" fillId="7" borderId="0" xfId="0" applyNumberFormat="1" applyFont="1" applyFill="1" applyProtection="1">
      <protection locked="0"/>
    </xf>
    <xf numFmtId="2" fontId="7" fillId="7" borderId="5" xfId="0" applyNumberFormat="1" applyFont="1" applyFill="1" applyBorder="1" applyProtection="1">
      <protection locked="0"/>
    </xf>
    <xf numFmtId="2" fontId="9" fillId="8" borderId="0" xfId="0" applyNumberFormat="1" applyFont="1" applyFill="1"/>
    <xf numFmtId="2" fontId="10" fillId="8" borderId="0" xfId="0" applyNumberFormat="1" applyFont="1" applyFill="1"/>
    <xf numFmtId="2" fontId="7" fillId="9" borderId="0" xfId="0" applyNumberFormat="1" applyFont="1" applyFill="1"/>
    <xf numFmtId="2" fontId="10" fillId="9" borderId="0" xfId="0" applyNumberFormat="1" applyFont="1" applyFill="1"/>
    <xf numFmtId="2" fontId="10" fillId="0" borderId="0" xfId="0" applyNumberFormat="1" applyFont="1"/>
    <xf numFmtId="2" fontId="7" fillId="7" borderId="4" xfId="0" applyNumberFormat="1" applyFont="1" applyFill="1" applyBorder="1" applyProtection="1">
      <protection locked="0"/>
    </xf>
    <xf numFmtId="2" fontId="9" fillId="3" borderId="0" xfId="0" applyNumberFormat="1" applyFont="1" applyFill="1"/>
    <xf numFmtId="2" fontId="11" fillId="4" borderId="0" xfId="0" applyNumberFormat="1" applyFont="1" applyFill="1"/>
    <xf numFmtId="2" fontId="12" fillId="4" borderId="0" xfId="0" applyNumberFormat="1" applyFont="1" applyFill="1"/>
    <xf numFmtId="2" fontId="9" fillId="0" borderId="0" xfId="0" applyNumberFormat="1" applyFont="1"/>
    <xf numFmtId="164" fontId="10" fillId="0" borderId="0" xfId="0" applyNumberFormat="1" applyFont="1"/>
    <xf numFmtId="2" fontId="7" fillId="7" borderId="6" xfId="0" applyNumberFormat="1" applyFont="1" applyFill="1" applyBorder="1" applyProtection="1">
      <protection locked="0"/>
    </xf>
    <xf numFmtId="2" fontId="7" fillId="7" borderId="7" xfId="0" applyNumberFormat="1" applyFont="1" applyFill="1" applyBorder="1" applyProtection="1">
      <protection locked="0"/>
    </xf>
    <xf numFmtId="2" fontId="7" fillId="7" borderId="8" xfId="0" applyNumberFormat="1" applyFont="1" applyFill="1" applyBorder="1" applyProtection="1">
      <protection locked="0"/>
    </xf>
    <xf numFmtId="2" fontId="7" fillId="0" borderId="0" xfId="0" applyNumberFormat="1" applyFont="1" applyAlignment="1">
      <alignment horizontal="right"/>
    </xf>
    <xf numFmtId="2" fontId="6" fillId="0" borderId="0" xfId="0" applyNumberFormat="1" applyFont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3" fontId="6" fillId="0" borderId="10" xfId="1" applyNumberFormat="1" applyFont="1" applyBorder="1" applyAlignment="1">
      <alignment horizontal="center" vertical="top"/>
    </xf>
    <xf numFmtId="3" fontId="6" fillId="0" borderId="11" xfId="1" applyNumberFormat="1" applyFont="1" applyBorder="1" applyAlignment="1">
      <alignment horizontal="right" vertical="top"/>
    </xf>
    <xf numFmtId="0" fontId="6" fillId="0" borderId="11" xfId="0" applyFont="1" applyBorder="1" applyAlignment="1">
      <alignment horizontal="right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" fontId="6" fillId="0" borderId="14" xfId="1" applyNumberFormat="1" applyFont="1" applyBorder="1" applyAlignment="1">
      <alignment horizontal="right" vertical="top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164" fontId="7" fillId="3" borderId="16" xfId="0" applyNumberFormat="1" applyFont="1" applyFill="1" applyBorder="1" applyAlignment="1">
      <alignment vertical="top"/>
    </xf>
    <xf numFmtId="0" fontId="7" fillId="2" borderId="16" xfId="1" applyNumberFormat="1" applyFont="1" applyFill="1" applyBorder="1" applyProtection="1">
      <alignment vertical="top"/>
      <protection locked="0"/>
    </xf>
    <xf numFmtId="10" fontId="7" fillId="2" borderId="16" xfId="0" applyNumberFormat="1" applyFont="1" applyFill="1" applyBorder="1" applyAlignment="1" applyProtection="1">
      <alignment vertical="top"/>
      <protection locked="0"/>
    </xf>
    <xf numFmtId="164" fontId="6" fillId="3" borderId="16" xfId="0" applyNumberFormat="1" applyFont="1" applyFill="1" applyBorder="1" applyAlignment="1">
      <alignment vertical="top"/>
    </xf>
    <xf numFmtId="0" fontId="7" fillId="2" borderId="16" xfId="0" applyFont="1" applyFill="1" applyBorder="1" applyProtection="1">
      <protection locked="0"/>
    </xf>
    <xf numFmtId="3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horizontal="right"/>
    </xf>
    <xf numFmtId="2" fontId="7" fillId="0" borderId="17" xfId="0" applyNumberFormat="1" applyFont="1" applyBorder="1"/>
    <xf numFmtId="0" fontId="7" fillId="0" borderId="0" xfId="1" applyNumberFormat="1" applyFont="1">
      <alignment vertical="top"/>
    </xf>
    <xf numFmtId="0" fontId="7" fillId="2" borderId="16" xfId="1" applyNumberFormat="1" applyFont="1" applyFill="1" applyBorder="1">
      <alignment vertical="top"/>
    </xf>
    <xf numFmtId="10" fontId="7" fillId="2" borderId="16" xfId="0" applyNumberFormat="1" applyFont="1" applyFill="1" applyBorder="1" applyAlignment="1">
      <alignment vertical="top"/>
    </xf>
    <xf numFmtId="0" fontId="7" fillId="2" borderId="16" xfId="0" applyFont="1" applyFill="1" applyBorder="1"/>
    <xf numFmtId="0" fontId="6" fillId="0" borderId="17" xfId="0" applyFont="1" applyBorder="1" applyAlignment="1">
      <alignment horizontal="right"/>
    </xf>
    <xf numFmtId="2" fontId="6" fillId="0" borderId="17" xfId="0" applyNumberFormat="1" applyFont="1" applyBorder="1"/>
    <xf numFmtId="164" fontId="6" fillId="2" borderId="15" xfId="0" applyNumberFormat="1" applyFont="1" applyFill="1" applyBorder="1" applyProtection="1">
      <protection locked="0"/>
    </xf>
    <xf numFmtId="2" fontId="10" fillId="0" borderId="9" xfId="0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2" fontId="10" fillId="0" borderId="18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6" fillId="2" borderId="20" xfId="0" applyNumberFormat="1" applyFont="1" applyFill="1" applyBorder="1" applyProtection="1">
      <protection locked="0"/>
    </xf>
    <xf numFmtId="164" fontId="7" fillId="3" borderId="15" xfId="0" applyNumberFormat="1" applyFont="1" applyFill="1" applyBorder="1" applyAlignment="1">
      <alignment vertical="top"/>
    </xf>
    <xf numFmtId="0" fontId="7" fillId="2" borderId="15" xfId="1" applyNumberFormat="1" applyFont="1" applyFill="1" applyBorder="1" applyProtection="1">
      <alignment vertical="top"/>
      <protection locked="0"/>
    </xf>
    <xf numFmtId="10" fontId="7" fillId="2" borderId="15" xfId="0" applyNumberFormat="1" applyFont="1" applyFill="1" applyBorder="1" applyAlignment="1" applyProtection="1">
      <alignment vertical="top"/>
      <protection locked="0"/>
    </xf>
    <xf numFmtId="164" fontId="6" fillId="3" borderId="15" xfId="0" applyNumberFormat="1" applyFont="1" applyFill="1" applyBorder="1" applyAlignment="1">
      <alignment vertical="top"/>
    </xf>
    <xf numFmtId="0" fontId="7" fillId="2" borderId="15" xfId="0" applyFont="1" applyFill="1" applyBorder="1" applyProtection="1">
      <protection locked="0"/>
    </xf>
    <xf numFmtId="164" fontId="7" fillId="3" borderId="15" xfId="0" applyNumberFormat="1" applyFont="1" applyFill="1" applyBorder="1"/>
    <xf numFmtId="164" fontId="7" fillId="2" borderId="15" xfId="0" applyNumberFormat="1" applyFont="1" applyFill="1" applyBorder="1" applyProtection="1">
      <protection locked="0"/>
    </xf>
    <xf numFmtId="2" fontId="6" fillId="0" borderId="21" xfId="0" applyNumberFormat="1" applyFont="1" applyBorder="1" applyAlignment="1">
      <alignment horizontal="right"/>
    </xf>
    <xf numFmtId="2" fontId="6" fillId="0" borderId="22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2" fontId="6" fillId="0" borderId="12" xfId="0" applyNumberFormat="1" applyFont="1" applyBorder="1" applyAlignment="1">
      <alignment horizontal="right"/>
    </xf>
    <xf numFmtId="0" fontId="6" fillId="0" borderId="23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5" xfId="1" applyNumberFormat="1" applyFont="1" applyBorder="1" applyAlignment="1">
      <alignment horizontal="right" vertical="top"/>
    </xf>
    <xf numFmtId="0" fontId="6" fillId="0" borderId="25" xfId="0" applyFont="1" applyBorder="1" applyAlignment="1">
      <alignment horizontal="right"/>
    </xf>
    <xf numFmtId="2" fontId="6" fillId="0" borderId="26" xfId="0" applyNumberFormat="1" applyFont="1" applyBorder="1" applyAlignment="1">
      <alignment horizontal="right"/>
    </xf>
    <xf numFmtId="2" fontId="6" fillId="0" borderId="23" xfId="0" applyNumberFormat="1" applyFont="1" applyBorder="1" applyAlignment="1">
      <alignment horizontal="right"/>
    </xf>
    <xf numFmtId="164" fontId="6" fillId="3" borderId="15" xfId="0" applyNumberFormat="1" applyFont="1" applyFill="1" applyBorder="1"/>
    <xf numFmtId="164" fontId="6" fillId="2" borderId="15" xfId="0" applyNumberFormat="1" applyFont="1" applyFill="1" applyBorder="1"/>
    <xf numFmtId="164" fontId="6" fillId="2" borderId="20" xfId="0" applyNumberFormat="1" applyFont="1" applyFill="1" applyBorder="1"/>
    <xf numFmtId="0" fontId="7" fillId="2" borderId="15" xfId="1" applyNumberFormat="1" applyFont="1" applyFill="1" applyBorder="1">
      <alignment vertical="top"/>
    </xf>
    <xf numFmtId="10" fontId="7" fillId="2" borderId="15" xfId="0" applyNumberFormat="1" applyFont="1" applyFill="1" applyBorder="1" applyAlignment="1">
      <alignment vertical="top"/>
    </xf>
    <xf numFmtId="0" fontId="7" fillId="2" borderId="15" xfId="0" applyFont="1" applyFill="1" applyBorder="1"/>
    <xf numFmtId="164" fontId="7" fillId="2" borderId="15" xfId="0" applyNumberFormat="1" applyFont="1" applyFill="1" applyBorder="1"/>
    <xf numFmtId="1" fontId="6" fillId="5" borderId="27" xfId="0" applyNumberFormat="1" applyFont="1" applyFill="1" applyBorder="1"/>
    <xf numFmtId="165" fontId="6" fillId="5" borderId="28" xfId="0" applyNumberFormat="1" applyFont="1" applyFill="1" applyBorder="1" applyAlignment="1">
      <alignment horizontal="left" indent="1"/>
    </xf>
    <xf numFmtId="165" fontId="6" fillId="5" borderId="20" xfId="0" applyNumberFormat="1" applyFont="1" applyFill="1" applyBorder="1" applyAlignment="1">
      <alignment horizontal="left" indent="1"/>
    </xf>
    <xf numFmtId="2" fontId="6" fillId="5" borderId="20" xfId="0" applyNumberFormat="1" applyFont="1" applyFill="1" applyBorder="1" applyAlignment="1">
      <alignment horizontal="right"/>
    </xf>
    <xf numFmtId="164" fontId="7" fillId="3" borderId="29" xfId="0" applyNumberFormat="1" applyFont="1" applyFill="1" applyBorder="1"/>
    <xf numFmtId="164" fontId="7" fillId="3" borderId="21" xfId="0" applyNumberFormat="1" applyFont="1" applyFill="1" applyBorder="1"/>
    <xf numFmtId="1" fontId="6" fillId="5" borderId="30" xfId="0" applyNumberFormat="1" applyFont="1" applyFill="1" applyBorder="1"/>
    <xf numFmtId="2" fontId="4" fillId="0" borderId="0" xfId="0" applyNumberFormat="1" applyFont="1"/>
    <xf numFmtId="2" fontId="6" fillId="5" borderId="31" xfId="0" applyNumberFormat="1" applyFont="1" applyFill="1" applyBorder="1" applyAlignment="1">
      <alignment horizontal="center"/>
    </xf>
    <xf numFmtId="2" fontId="6" fillId="5" borderId="32" xfId="0" applyNumberFormat="1" applyFont="1" applyFill="1" applyBorder="1" applyAlignment="1">
      <alignment horizontal="center"/>
    </xf>
    <xf numFmtId="2" fontId="6" fillId="5" borderId="18" xfId="0" applyNumberFormat="1" applyFont="1" applyFill="1" applyBorder="1" applyAlignment="1">
      <alignment horizontal="center"/>
    </xf>
    <xf numFmtId="2" fontId="6" fillId="5" borderId="30" xfId="0" applyNumberFormat="1" applyFont="1" applyFill="1" applyBorder="1" applyAlignment="1">
      <alignment horizontal="center"/>
    </xf>
    <xf numFmtId="2" fontId="6" fillId="5" borderId="33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165" fontId="6" fillId="5" borderId="28" xfId="0" applyNumberFormat="1" applyFont="1" applyFill="1" applyBorder="1" applyAlignment="1">
      <alignment horizontal="center"/>
    </xf>
    <xf numFmtId="165" fontId="6" fillId="5" borderId="20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165" fontId="6" fillId="5" borderId="19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39C7-DFFC-426E-9BAC-1B2BAE998E6C}">
  <dimension ref="A1:O108"/>
  <sheetViews>
    <sheetView showGridLines="0" tabSelected="1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99" t="s">
        <v>72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2025</v>
      </c>
      <c r="B19" s="106">
        <f>IF(ISNA(VLOOKUP(A19,TABLES!$B$4:$D$30,3,FALSE)),"NOT AVAILABLE",VLOOKUP(A19,TABLES!$B$4:$D$30,3,FALSE))</f>
        <v>209223</v>
      </c>
      <c r="C19" s="107"/>
      <c r="D19" s="20"/>
      <c r="E19" s="20"/>
      <c r="F19" s="20"/>
      <c r="O19" s="12"/>
    </row>
    <row r="20" spans="1:15" x14ac:dyDescent="0.3">
      <c r="A20" s="98">
        <v>2026</v>
      </c>
      <c r="B20" s="108" t="str">
        <f>IF(ISNA(VLOOKUP(A20,TABLES!$B$4:$D$30,3,FALSE)),"NOT AVAILABLE",VLOOKUP(A20,TABLES!$B$4:$D$30,3,FALSE))</f>
        <v>NOT AVAILABLE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2025</v>
      </c>
      <c r="C28" s="44">
        <f>IF(ISNA(VLOOKUP(B28,TABLES!$B$4:$D$30,2,FALSE)),"NOT AVAILABLE",VLOOKUP(B28,TABLES!$B$4:$D$30,2,FALSE))</f>
        <v>71300</v>
      </c>
      <c r="D28" s="67">
        <f>D24/E28*F28</f>
        <v>0</v>
      </c>
      <c r="E28" s="68">
        <v>196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f>B28</f>
        <v>2025</v>
      </c>
      <c r="C29" s="44">
        <f>IF(ISNA(VLOOKUP(B29,TABLES!$B$4:$D$30,2,FALSE)),"NOT AVAILABLE",VLOOKUP(B29,TABLES!$B$4:$D$30,2,FALSE))</f>
        <v>71300</v>
      </c>
      <c r="D29" s="67">
        <f>IF(E24&gt;0,E24/E29*F29,D24/E29*F29)</f>
        <v>0</v>
      </c>
      <c r="E29" s="68">
        <f>$E$28</f>
        <v>196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f>B28</f>
        <v>2025</v>
      </c>
      <c r="C30" s="44">
        <f>IF(ISNA(VLOOKUP(B30,TABLES!$B$4:$D$30,2,FALSE)),"NOT AVAILABLE",VLOOKUP(B30,TABLES!$B$4:$D$30,2,FALSE))</f>
        <v>71300</v>
      </c>
      <c r="D30" s="67">
        <f>IF(F24&gt;0,F24/E30*F30,IF(E24&gt;0,E24/E30*F30,D24/E30*F30))</f>
        <v>0</v>
      </c>
      <c r="E30" s="68">
        <f t="shared" ref="E30:E33" si="1">$E$28</f>
        <v>196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f>B28+1</f>
        <v>2026</v>
      </c>
      <c r="C31" s="44" t="str">
        <f>IF(ISNA(VLOOKUP(B31,TABLES!$B$4:$D$30,2,FALSE)),"NOT AVAILABLE",VLOOKUP(B31,TABLES!$B$4:$D$30,2,FALSE))</f>
        <v>NOT AVAILABLE</v>
      </c>
      <c r="D31" s="67">
        <f>IF(C31="NOT AVAILABLE",0,G24/E31*F31)</f>
        <v>0</v>
      </c>
      <c r="E31" s="68">
        <f t="shared" si="1"/>
        <v>196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f>B31</f>
        <v>2026</v>
      </c>
      <c r="C32" s="44" t="str">
        <f>IF(ISNA(VLOOKUP(B32,TABLES!$B$4:$D$30,2,FALSE)),"NOT AVAILABLE",VLOOKUP(B32,TABLES!$B$4:$D$30,2,FALSE))</f>
        <v>NOT AVAILABLE</v>
      </c>
      <c r="D32" s="67">
        <f>IF(C32="NOT AVAILABLE",0,IF(H24&gt;0,H24/E32*F32,G24/E32*F32))</f>
        <v>0</v>
      </c>
      <c r="E32" s="68">
        <f t="shared" si="1"/>
        <v>196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f>B31</f>
        <v>2026</v>
      </c>
      <c r="C33" s="44" t="str">
        <f>IF(ISNA(VLOOKUP(B33,TABLES!$B$4:$D$30,2,FALSE)),"NOT AVAILABLE",VLOOKUP(B33,TABLES!$B$4:$D$30,2,FALSE))</f>
        <v>NOT AVAILABLE</v>
      </c>
      <c r="D33" s="67">
        <f>IF(C33="NOT AVAILABLE",0,IF(I24&gt;0,I24/E33*F33,IF(H24&gt;0,H24/E33*F33,G24/E33*F33)))</f>
        <v>0</v>
      </c>
      <c r="E33" s="68">
        <f t="shared" si="1"/>
        <v>196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78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79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2024</v>
      </c>
      <c r="C80" s="44">
        <f>IF(ISNA(VLOOKUP(B80,TABLES!$B$4:$D$30,2,FALSE)),"NOT AVAILABLE",VLOOKUP(B80,TABLES!$B$4:$D$30,2,FALSE))</f>
        <v>68500</v>
      </c>
      <c r="D80" s="67">
        <f>D76/E80*F80</f>
        <v>207.25388601036269</v>
      </c>
      <c r="E80" s="88">
        <v>193</v>
      </c>
      <c r="F80" s="89">
        <v>0.5</v>
      </c>
      <c r="G80" s="70">
        <f>ROUND(((MIN(D76,C80)*8.8%+MAX(D76-C80,0)*10.4%))*F80/E80,2)</f>
        <v>18.72</v>
      </c>
      <c r="H80" s="90">
        <v>41</v>
      </c>
      <c r="I80" s="72">
        <f>(G80*H80)</f>
        <v>767.52</v>
      </c>
      <c r="J80" s="91">
        <v>0</v>
      </c>
    </row>
    <row r="81" spans="1:10" x14ac:dyDescent="0.3">
      <c r="A81" s="42" t="s">
        <v>19</v>
      </c>
      <c r="B81" s="43">
        <v>2024</v>
      </c>
      <c r="C81" s="44">
        <f>IF(ISNA(VLOOKUP(B81,TABLES!$B$4:$D$30,2,FALSE)),"NOT AVAILABLE",VLOOKUP(B81,TABLES!$B$4:$D$30,2,FALSE))</f>
        <v>68500</v>
      </c>
      <c r="D81" s="67">
        <f>IF(E76&gt;0,E76/E81*F81,D76/E81*F81)</f>
        <v>414.50777202072538</v>
      </c>
      <c r="E81" s="88">
        <v>193</v>
      </c>
      <c r="F81" s="89">
        <v>1</v>
      </c>
      <c r="G81" s="70">
        <f>ROUND(((MIN(D76,C81)*8.8%+MAX(D76-C81,0)*10.4%))*F81/E81,2)</f>
        <v>37.43</v>
      </c>
      <c r="H81" s="90">
        <v>35</v>
      </c>
      <c r="I81" s="72">
        <f>(G81*H81)</f>
        <v>1310.05</v>
      </c>
      <c r="J81" s="91">
        <v>0</v>
      </c>
    </row>
    <row r="82" spans="1:10" x14ac:dyDescent="0.3">
      <c r="A82" s="42" t="s">
        <v>20</v>
      </c>
      <c r="B82" s="43">
        <v>2025</v>
      </c>
      <c r="C82" s="44">
        <f>IF(ISNA(VLOOKUP(B82,TABLES!$B$4:$D$30,2,FALSE)),"NOT AVAILABLE",VLOOKUP(B82,TABLES!$B$4:$D$30,2,FALSE))</f>
        <v>71300</v>
      </c>
      <c r="D82" s="67">
        <f>IF(C82="NOT AVAILABLE",0,F76/E82*F82)</f>
        <v>414.50777202072538</v>
      </c>
      <c r="E82" s="88">
        <v>193</v>
      </c>
      <c r="F82" s="89">
        <v>1</v>
      </c>
      <c r="G82" s="70">
        <f>IF(C82="NOT AVAILABLE",0,ROUND(((MIN(F76,C82)*8.8%+MAX(F76-C82,0)*10.4%))*F82/E82,2))</f>
        <v>37.200000000000003</v>
      </c>
      <c r="H82" s="90">
        <v>59</v>
      </c>
      <c r="I82" s="72">
        <f>(G82*H82)</f>
        <v>2194.8000000000002</v>
      </c>
      <c r="J82" s="91">
        <v>120</v>
      </c>
    </row>
    <row r="83" spans="1:10" x14ac:dyDescent="0.3">
      <c r="A83" s="42" t="s">
        <v>20</v>
      </c>
      <c r="B83" s="43">
        <v>2025</v>
      </c>
      <c r="C83" s="44">
        <f>IF(ISNA(VLOOKUP(B83,TABLES!$B$4:$D$30,2,FALSE)),"NOT AVAILABLE",VLOOKUP(B83,TABLES!$B$4:$D$30,2,FALSE))</f>
        <v>71300</v>
      </c>
      <c r="D83" s="67">
        <f>IF(C83="NOT AVAILABLE",0,IF(G76&gt;0,G76/E83*F83,F76/E83*F83))</f>
        <v>414.50777202072538</v>
      </c>
      <c r="E83" s="88">
        <v>193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4272.37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4284.8499999999995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80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81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82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2024</v>
      </c>
      <c r="C102" s="44">
        <f>IF(ISNA(VLOOKUP(B102,TABLES!$B$4:$D$30,2,FALSE)),"NOT AVAILABLE",VLOOKUP(B102,TABLES!$B$4:$D$30,2,FALSE))</f>
        <v>68500</v>
      </c>
      <c r="D102" s="45">
        <f>D98/E102*F102</f>
        <v>0</v>
      </c>
      <c r="E102" s="56">
        <v>193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2024</v>
      </c>
      <c r="C103" s="44">
        <f>IF(ISNA(VLOOKUP(B103,TABLES!$B$4:$D$30,2,FALSE)),"NOT AVAILABLE",VLOOKUP(B103,TABLES!$B$4:$D$30,2,FALSE))</f>
        <v>68500</v>
      </c>
      <c r="D103" s="45">
        <f>IF(E98&gt;0,E98/E103*F103,D98/E103*F103)</f>
        <v>0</v>
      </c>
      <c r="E103" s="56">
        <v>193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2025</v>
      </c>
      <c r="C104" s="44">
        <f>IF(ISNA(VLOOKUP(B104,TABLES!$B$4:$D$30,2,FALSE)),"NOT AVAILABLE",VLOOKUP(B104,TABLES!$B$4:$D$30,2,FALSE))</f>
        <v>71300</v>
      </c>
      <c r="D104" s="45">
        <f>IF(C104="NOT AVAILABLE",0,F98/E104*F104)</f>
        <v>414.50777202072538</v>
      </c>
      <c r="E104" s="56">
        <v>193</v>
      </c>
      <c r="F104" s="57">
        <v>1</v>
      </c>
      <c r="G104" s="48">
        <f>IF(C104="NOT AVAILABLE",0,ROUND(((MIN(F98,C104)*8.8%+MAX(F98-C104,0)*10.4%))*F104/E104,2))</f>
        <v>37.200000000000003</v>
      </c>
      <c r="H104" s="58">
        <v>39</v>
      </c>
      <c r="I104" s="96">
        <f>(G104*H104)</f>
        <v>1450.8000000000002</v>
      </c>
      <c r="J104" s="91">
        <v>0</v>
      </c>
    </row>
    <row r="105" spans="1:10" x14ac:dyDescent="0.3">
      <c r="A105" s="42" t="s">
        <v>20</v>
      </c>
      <c r="B105" s="43">
        <v>2025</v>
      </c>
      <c r="C105" s="44">
        <f>IF(ISNA(VLOOKUP(B105,TABLES!$B$4:$D$30,2,FALSE)),"NOT AVAILABLE",VLOOKUP(B105,TABLES!$B$4:$D$30,2,FALSE))</f>
        <v>71300</v>
      </c>
      <c r="D105" s="45">
        <f>IF(C105="NOT AVAILABLE",0,IF(G98&gt;0,G98/E105*F105,F98/E105*F105))</f>
        <v>427.46113989637308</v>
      </c>
      <c r="E105" s="56">
        <v>193</v>
      </c>
      <c r="F105" s="57">
        <v>1</v>
      </c>
      <c r="G105" s="48">
        <f>IF(C105="NOT AVAILABLE",0,ROUND(((MIN(G98,C105)*8.8%+MAX(G98-C105,0)*10.4%))*F105/E105,2))</f>
        <v>38.549999999999997</v>
      </c>
      <c r="H105" s="58">
        <v>58</v>
      </c>
      <c r="I105" s="96">
        <f>(G105*H105)</f>
        <v>2235.8999999999996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3686.7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3686.7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algorithmName="SHA-512" hashValue="mhIg0MBheW2WggaqP6w/5OyxkkjWejuFUFvCNGKiPCpRkJmE1YXDb+lJ7M8GweTec1FVzFggM4zQUI7lm4pr2A==" saltValue="gUbYUwWk1wQZgRaGzmnTjA==" spinCount="100000" sheet="1" objects="1" scenarios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  <ignoredErrors>
    <ignoredError sqref="E29:E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429D-53A2-4503-B0D5-80821304A58C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99" t="s">
        <v>72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f>B28</f>
        <v>2024</v>
      </c>
      <c r="B19" s="106">
        <f>IF(ISNA(VLOOKUP(A19,TABLES!$B$4:$D$30,3,FALSE)),"NOT AVAILABLE",VLOOKUP(A19,TABLES!$B$4:$D$30,3,FALSE))</f>
        <v>201050</v>
      </c>
      <c r="C19" s="107"/>
      <c r="D19" s="20"/>
      <c r="E19" s="20"/>
      <c r="F19" s="20"/>
      <c r="O19" s="12"/>
    </row>
    <row r="20" spans="1:15" x14ac:dyDescent="0.3">
      <c r="A20" s="98">
        <f>B31</f>
        <v>2025</v>
      </c>
      <c r="B20" s="108">
        <f>IF(ISNA(VLOOKUP(A20,TABLES!$B$4:$D$30,3,FALSE)),"NOT AVAILABLE",VLOOKUP(A20,TABLES!$B$4:$D$30,3,FALSE))</f>
        <v>209223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2024</v>
      </c>
      <c r="C28" s="44">
        <f>IF(ISNA(VLOOKUP(B28,TABLES!$B$4:$D$30,2,FALSE)),"NOT AVAILABLE",VLOOKUP(B28,TABLES!$B$4:$D$30,2,FALSE))</f>
        <v>68500</v>
      </c>
      <c r="D28" s="67">
        <f>D24/E28*F28</f>
        <v>0</v>
      </c>
      <c r="E28" s="68">
        <v>193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f>B28</f>
        <v>2024</v>
      </c>
      <c r="C29" s="44">
        <f>IF(ISNA(VLOOKUP(B29,TABLES!$B$4:$D$30,2,FALSE)),"NOT AVAILABLE",VLOOKUP(B29,TABLES!$B$4:$D$30,2,FALSE))</f>
        <v>68500</v>
      </c>
      <c r="D29" s="67">
        <f>IF(E24&gt;0,E24/E29*F29,D24/E29*F29)</f>
        <v>0</v>
      </c>
      <c r="E29" s="68">
        <v>193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f>B28</f>
        <v>2024</v>
      </c>
      <c r="C30" s="44">
        <f>IF(ISNA(VLOOKUP(B30,TABLES!$B$4:$D$30,2,FALSE)),"NOT AVAILABLE",VLOOKUP(B30,TABLES!$B$4:$D$30,2,FALSE))</f>
        <v>68500</v>
      </c>
      <c r="D30" s="67">
        <f>IF(F24&gt;0,F24/E30*F30,IF(E24&gt;0,E24/E30*F30,D24/E30*F30))</f>
        <v>0</v>
      </c>
      <c r="E30" s="68">
        <v>193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2025</v>
      </c>
      <c r="C31" s="44">
        <f>IF(ISNA(VLOOKUP(B31,TABLES!$B$4:$D$30,2,FALSE)),"NOT AVAILABLE",VLOOKUP(B31,TABLES!$B$4:$D$30,2,FALSE))</f>
        <v>71300</v>
      </c>
      <c r="D31" s="67">
        <f>IF(C31="NOT AVAILABLE",0,G24/E31*F31)</f>
        <v>0</v>
      </c>
      <c r="E31" s="68">
        <v>193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f>B31</f>
        <v>2025</v>
      </c>
      <c r="C32" s="44">
        <f>IF(ISNA(VLOOKUP(B32,TABLES!$B$4:$D$30,2,FALSE)),"NOT AVAILABLE",VLOOKUP(B32,TABLES!$B$4:$D$30,2,FALSE))</f>
        <v>71300</v>
      </c>
      <c r="D32" s="67">
        <f>IF(C32="NOT AVAILABLE",0,IF(H24&gt;0,H24/E32*F32,G24/E32*F32))</f>
        <v>0</v>
      </c>
      <c r="E32" s="68">
        <v>193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f>B31</f>
        <v>2025</v>
      </c>
      <c r="C33" s="44">
        <f>IF(ISNA(VLOOKUP(B33,TABLES!$B$4:$D$30,2,FALSE)),"NOT AVAILABLE",VLOOKUP(B33,TABLES!$B$4:$D$30,2,FALSE))</f>
        <v>71300</v>
      </c>
      <c r="D33" s="67">
        <f>IF(C33="NOT AVAILABLE",0,IF(I24&gt;0,I24/E33*F33,IF(H24&gt;0,H24/E33*F33,G24/E33*F33)))</f>
        <v>0</v>
      </c>
      <c r="E33" s="68">
        <v>193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78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79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2024</v>
      </c>
      <c r="C80" s="44">
        <f>IF(ISNA(VLOOKUP(B80,TABLES!$B$4:$D$30,2,FALSE)),"NOT AVAILABLE",VLOOKUP(B80,TABLES!$B$4:$D$30,2,FALSE))</f>
        <v>68500</v>
      </c>
      <c r="D80" s="67">
        <f>D76/E80*F80</f>
        <v>207.25388601036269</v>
      </c>
      <c r="E80" s="88">
        <v>193</v>
      </c>
      <c r="F80" s="89">
        <v>0.5</v>
      </c>
      <c r="G80" s="70">
        <f>ROUND(((MIN(D76,C80)*8.8%+MAX(D76-C80,0)*10.4%))*F80/E80,2)</f>
        <v>18.72</v>
      </c>
      <c r="H80" s="90">
        <v>41</v>
      </c>
      <c r="I80" s="72">
        <f>(G80*H80)</f>
        <v>767.52</v>
      </c>
      <c r="J80" s="91">
        <v>0</v>
      </c>
    </row>
    <row r="81" spans="1:10" x14ac:dyDescent="0.3">
      <c r="A81" s="42" t="s">
        <v>19</v>
      </c>
      <c r="B81" s="43">
        <v>2024</v>
      </c>
      <c r="C81" s="44">
        <f>IF(ISNA(VLOOKUP(B81,TABLES!$B$4:$D$30,2,FALSE)),"NOT AVAILABLE",VLOOKUP(B81,TABLES!$B$4:$D$30,2,FALSE))</f>
        <v>68500</v>
      </c>
      <c r="D81" s="67">
        <f>IF(E76&gt;0,E76/E81*F81,D76/E81*F81)</f>
        <v>414.50777202072538</v>
      </c>
      <c r="E81" s="88">
        <v>193</v>
      </c>
      <c r="F81" s="89">
        <v>1</v>
      </c>
      <c r="G81" s="70">
        <f>ROUND(((MIN(D76,C81)*8.8%+MAX(D76-C81,0)*10.4%))*F81/E81,2)</f>
        <v>37.43</v>
      </c>
      <c r="H81" s="90">
        <v>35</v>
      </c>
      <c r="I81" s="72">
        <f>(G81*H81)</f>
        <v>1310.05</v>
      </c>
      <c r="J81" s="91">
        <v>0</v>
      </c>
    </row>
    <row r="82" spans="1:10" x14ac:dyDescent="0.3">
      <c r="A82" s="42" t="s">
        <v>20</v>
      </c>
      <c r="B82" s="43">
        <v>2025</v>
      </c>
      <c r="C82" s="44">
        <f>IF(ISNA(VLOOKUP(B82,TABLES!$B$4:$D$30,2,FALSE)),"NOT AVAILABLE",VLOOKUP(B82,TABLES!$B$4:$D$30,2,FALSE))</f>
        <v>71300</v>
      </c>
      <c r="D82" s="67">
        <f>IF(C82="NOT AVAILABLE",0,F76/E82*F82)</f>
        <v>414.50777202072538</v>
      </c>
      <c r="E82" s="88">
        <v>193</v>
      </c>
      <c r="F82" s="89">
        <v>1</v>
      </c>
      <c r="G82" s="70">
        <f>IF(C82="NOT AVAILABLE",0,ROUND(((MIN(F76,C82)*8.8%+MAX(F76-C82,0)*10.4%))*F82/E82,2))</f>
        <v>37.200000000000003</v>
      </c>
      <c r="H82" s="90">
        <v>59</v>
      </c>
      <c r="I82" s="72">
        <f>(G82*H82)</f>
        <v>2194.8000000000002</v>
      </c>
      <c r="J82" s="91">
        <v>120</v>
      </c>
    </row>
    <row r="83" spans="1:10" x14ac:dyDescent="0.3">
      <c r="A83" s="42" t="s">
        <v>20</v>
      </c>
      <c r="B83" s="43">
        <v>2025</v>
      </c>
      <c r="C83" s="44">
        <f>IF(ISNA(VLOOKUP(B83,TABLES!$B$4:$D$30,2,FALSE)),"NOT AVAILABLE",VLOOKUP(B83,TABLES!$B$4:$D$30,2,FALSE))</f>
        <v>71300</v>
      </c>
      <c r="D83" s="67">
        <f>IF(C83="NOT AVAILABLE",0,IF(G76&gt;0,G76/E83*F83,F76/E83*F83))</f>
        <v>414.50777202072538</v>
      </c>
      <c r="E83" s="88">
        <v>193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4272.37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4284.8499999999995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80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81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82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2024</v>
      </c>
      <c r="C102" s="44">
        <f>IF(ISNA(VLOOKUP(B102,TABLES!$B$4:$D$30,2,FALSE)),"NOT AVAILABLE",VLOOKUP(B102,TABLES!$B$4:$D$30,2,FALSE))</f>
        <v>68500</v>
      </c>
      <c r="D102" s="45">
        <f>D98/E102*F102</f>
        <v>0</v>
      </c>
      <c r="E102" s="56">
        <v>193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2024</v>
      </c>
      <c r="C103" s="44">
        <f>IF(ISNA(VLOOKUP(B103,TABLES!$B$4:$D$30,2,FALSE)),"NOT AVAILABLE",VLOOKUP(B103,TABLES!$B$4:$D$30,2,FALSE))</f>
        <v>68500</v>
      </c>
      <c r="D103" s="45">
        <f>IF(E98&gt;0,E98/E103*F103,D98/E103*F103)</f>
        <v>0</v>
      </c>
      <c r="E103" s="56">
        <v>193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2025</v>
      </c>
      <c r="C104" s="44">
        <f>IF(ISNA(VLOOKUP(B104,TABLES!$B$4:$D$30,2,FALSE)),"NOT AVAILABLE",VLOOKUP(B104,TABLES!$B$4:$D$30,2,FALSE))</f>
        <v>71300</v>
      </c>
      <c r="D104" s="45">
        <f>IF(C104="NOT AVAILABLE",0,F98/E104*F104)</f>
        <v>414.50777202072538</v>
      </c>
      <c r="E104" s="56">
        <v>193</v>
      </c>
      <c r="F104" s="57">
        <v>1</v>
      </c>
      <c r="G104" s="48">
        <f>IF(C104="NOT AVAILABLE",0,ROUND(((MIN(F98,C104)*8.8%+MAX(F98-C104,0)*10.4%))*F104/E104,2))</f>
        <v>37.200000000000003</v>
      </c>
      <c r="H104" s="58">
        <v>39</v>
      </c>
      <c r="I104" s="96">
        <f>(G104*H104)</f>
        <v>1450.8000000000002</v>
      </c>
      <c r="J104" s="91">
        <v>0</v>
      </c>
    </row>
    <row r="105" spans="1:10" x14ac:dyDescent="0.3">
      <c r="A105" s="42" t="s">
        <v>20</v>
      </c>
      <c r="B105" s="43">
        <v>2025</v>
      </c>
      <c r="C105" s="44">
        <f>IF(ISNA(VLOOKUP(B105,TABLES!$B$4:$D$30,2,FALSE)),"NOT AVAILABLE",VLOOKUP(B105,TABLES!$B$4:$D$30,2,FALSE))</f>
        <v>71300</v>
      </c>
      <c r="D105" s="45">
        <f>IF(C105="NOT AVAILABLE",0,IF(G98&gt;0,G98/E105*F105,F98/E105*F105))</f>
        <v>427.46113989637308</v>
      </c>
      <c r="E105" s="56">
        <v>193</v>
      </c>
      <c r="F105" s="57">
        <v>1</v>
      </c>
      <c r="G105" s="48">
        <f>IF(C105="NOT AVAILABLE",0,ROUND(((MIN(G98,C105)*8.8%+MAX(G98-C105,0)*10.4%))*F105/E105,2))</f>
        <v>38.549999999999997</v>
      </c>
      <c r="H105" s="58">
        <v>58</v>
      </c>
      <c r="I105" s="96">
        <f>(G105*H105)</f>
        <v>2235.8999999999996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3686.7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3686.7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algorithmName="SHA-512" hashValue="uqjdLgBlznx1+PYXUS4l6NMXkPapdtlhpuyoLcH5tT4cIkZ1tfajxfj7BxCQXBP+X4Lz7AnWHZsC3Jx6zlvIAA==" saltValue="lZRrjMcNM8PexhspWMnmSA==" spinCount="100000" sheet="1" objects="1" scenarios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B964F-55CA-4BF8-9309-7BC445149CC8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2023</v>
      </c>
      <c r="B19" s="106">
        <f>IF(ISNA(VLOOKUP(A19,TABLES!$B$4:$D$30,3,FALSE)),"NOT AVAILABLE",VLOOKUP(A19,TABLES!$B$4:$D$30,3,FALSE))</f>
        <v>195313</v>
      </c>
      <c r="C19" s="107"/>
      <c r="D19" s="20"/>
      <c r="E19" s="20"/>
      <c r="F19" s="20"/>
      <c r="O19" s="12"/>
    </row>
    <row r="20" spans="1:15" x14ac:dyDescent="0.3">
      <c r="A20" s="98">
        <v>2024</v>
      </c>
      <c r="B20" s="108">
        <f>IF(ISNA(VLOOKUP(A20,TABLES!$B$4:$D$30,3,FALSE)),"NOT AVAILABLE",VLOOKUP(A20,TABLES!$B$4:$D$30,3,FALSE))</f>
        <v>201050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2023</v>
      </c>
      <c r="C28" s="44">
        <f>IF(ISNA(VLOOKUP(B28,TABLES!$B$4:$D$30,2,FALSE)),"NOT AVAILABLE",VLOOKUP(B28,TABLES!$B$4:$D$30,2,FALSE))</f>
        <v>66600</v>
      </c>
      <c r="D28" s="67">
        <f>D24/E28*F28</f>
        <v>0</v>
      </c>
      <c r="E28" s="68">
        <v>196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2023</v>
      </c>
      <c r="C29" s="44">
        <f>IF(ISNA(VLOOKUP(B29,TABLES!$B$4:$D$30,2,FALSE)),"NOT AVAILABLE",VLOOKUP(B29,TABLES!$B$4:$D$30,2,FALSE))</f>
        <v>66600</v>
      </c>
      <c r="D29" s="67">
        <f>IF(E24&gt;0,E24/E29*F29,D24/E29*F29)</f>
        <v>0</v>
      </c>
      <c r="E29" s="68">
        <v>196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2023</v>
      </c>
      <c r="C30" s="44">
        <f>IF(ISNA(VLOOKUP(B30,TABLES!$B$4:$D$30,2,FALSE)),"NOT AVAILABLE",VLOOKUP(B30,TABLES!$B$4:$D$30,2,FALSE))</f>
        <v>66600</v>
      </c>
      <c r="D30" s="67">
        <f>IF(F24&gt;0,F24/E30*F30,IF(E24&gt;0,E24/E30*F30,D24/E30*F30))</f>
        <v>0</v>
      </c>
      <c r="E30" s="68">
        <v>196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2024</v>
      </c>
      <c r="C31" s="44">
        <f>IF(ISNA(VLOOKUP(B31,TABLES!$B$4:$D$30,2,FALSE)),"NOT AVAILABLE",VLOOKUP(B31,TABLES!$B$4:$D$30,2,FALSE))</f>
        <v>68500</v>
      </c>
      <c r="D31" s="67">
        <f>IF(C31="NOT AVAILABLE",0,G24/E31*F31)</f>
        <v>0</v>
      </c>
      <c r="E31" s="68">
        <v>196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2024</v>
      </c>
      <c r="C32" s="44">
        <f>IF(ISNA(VLOOKUP(B32,TABLES!$B$4:$D$30,2,FALSE)),"NOT AVAILABLE",VLOOKUP(B32,TABLES!$B$4:$D$30,2,FALSE))</f>
        <v>68500</v>
      </c>
      <c r="D32" s="67">
        <f>IF(C32="NOT AVAILABLE",0,IF(H24&gt;0,H24/E32*F32,G24/E32*F32))</f>
        <v>0</v>
      </c>
      <c r="E32" s="68">
        <v>196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2024</v>
      </c>
      <c r="C33" s="44">
        <f>IF(ISNA(VLOOKUP(B33,TABLES!$B$4:$D$30,2,FALSE)),"NOT AVAILABLE",VLOOKUP(B33,TABLES!$B$4:$D$30,2,FALSE))</f>
        <v>68500</v>
      </c>
      <c r="D33" s="67">
        <f>IF(C33="NOT AVAILABLE",0,IF(I24&gt;0,I24/E33*F33,IF(H24&gt;0,H24/E33*F33,G24/E33*F33)))</f>
        <v>0</v>
      </c>
      <c r="E33" s="68">
        <v>196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67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68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2023</v>
      </c>
      <c r="C80" s="44">
        <f>IF(ISNA(VLOOKUP(B80,TABLES!$B$4:$D$30,2,FALSE)),"NOT AVAILABLE",VLOOKUP(B80,TABLES!$B$4:$D$30,2,FALSE))</f>
        <v>66600</v>
      </c>
      <c r="D80" s="67">
        <f>D76/E80*F80</f>
        <v>204.08163265306123</v>
      </c>
      <c r="E80" s="88">
        <v>196</v>
      </c>
      <c r="F80" s="89">
        <v>0.5</v>
      </c>
      <c r="G80" s="70">
        <f>ROUND(((MIN(D76,C80)*8.8%+MAX(D76-C80,0)*10.4%))*F80/E80,2)</f>
        <v>18.510000000000002</v>
      </c>
      <c r="H80" s="90">
        <v>40</v>
      </c>
      <c r="I80" s="72">
        <f>(G80*H80)</f>
        <v>740.40000000000009</v>
      </c>
      <c r="J80" s="91">
        <v>0</v>
      </c>
    </row>
    <row r="81" spans="1:10" x14ac:dyDescent="0.3">
      <c r="A81" s="42" t="s">
        <v>19</v>
      </c>
      <c r="B81" s="43">
        <v>2023</v>
      </c>
      <c r="C81" s="44">
        <f>IF(ISNA(VLOOKUP(B81,TABLES!$B$4:$D$30,2,FALSE)),"NOT AVAILABLE",VLOOKUP(B81,TABLES!$B$4:$D$30,2,FALSE))</f>
        <v>66600</v>
      </c>
      <c r="D81" s="67">
        <f>IF(E76&gt;0,E76/E81*F81,D76/E81*F81)</f>
        <v>408.16326530612247</v>
      </c>
      <c r="E81" s="88">
        <v>196</v>
      </c>
      <c r="F81" s="89">
        <v>1</v>
      </c>
      <c r="G81" s="70">
        <f>ROUND(((MIN(D76,C81)*8.8%+MAX(D76-C81,0)*10.4%))*F81/E81,2)</f>
        <v>37.01</v>
      </c>
      <c r="H81" s="90">
        <v>38</v>
      </c>
      <c r="I81" s="72">
        <f>(G81*H81)</f>
        <v>1406.3799999999999</v>
      </c>
      <c r="J81" s="91">
        <v>0</v>
      </c>
    </row>
    <row r="82" spans="1:10" x14ac:dyDescent="0.3">
      <c r="A82" s="42" t="s">
        <v>20</v>
      </c>
      <c r="B82" s="43">
        <v>2024</v>
      </c>
      <c r="C82" s="44">
        <f>IF(ISNA(VLOOKUP(B82,TABLES!$B$4:$D$30,2,FALSE)),"NOT AVAILABLE",VLOOKUP(B82,TABLES!$B$4:$D$30,2,FALSE))</f>
        <v>68500</v>
      </c>
      <c r="D82" s="67">
        <f>IF(C82="NOT AVAILABLE",0,F76/E82*F82)</f>
        <v>408.16326530612247</v>
      </c>
      <c r="E82" s="88">
        <v>196</v>
      </c>
      <c r="F82" s="89">
        <v>1</v>
      </c>
      <c r="G82" s="70">
        <f>IF(C82="NOT AVAILABLE",0,ROUND(((MIN(F76,C82)*8.8%+MAX(F76-C82,0)*10.4%))*F82/E82,2))</f>
        <v>36.86</v>
      </c>
      <c r="H82" s="90">
        <v>54</v>
      </c>
      <c r="I82" s="72">
        <f>(G82*H82)</f>
        <v>1990.44</v>
      </c>
      <c r="J82" s="91">
        <v>120</v>
      </c>
    </row>
    <row r="83" spans="1:10" x14ac:dyDescent="0.3">
      <c r="A83" s="42" t="s">
        <v>20</v>
      </c>
      <c r="B83" s="43">
        <v>2024</v>
      </c>
      <c r="C83" s="44">
        <f>IF(ISNA(VLOOKUP(B83,TABLES!$B$4:$D$30,2,FALSE)),"NOT AVAILABLE",VLOOKUP(B83,TABLES!$B$4:$D$30,2,FALSE))</f>
        <v>68500</v>
      </c>
      <c r="D83" s="67">
        <f>IF(C83="NOT AVAILABLE",0,IF(G76&gt;0,G76/E83*F83,F76/E83*F83))</f>
        <v>408.16326530612247</v>
      </c>
      <c r="E83" s="88">
        <v>196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4137.2199999999993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4149.6999999999989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69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70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71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2023</v>
      </c>
      <c r="C102" s="44">
        <f>IF(ISNA(VLOOKUP(B102,TABLES!$B$4:$D$30,2,FALSE)),"NOT AVAILABLE",VLOOKUP(B102,TABLES!$B$4:$D$30,2,FALSE))</f>
        <v>66600</v>
      </c>
      <c r="D102" s="45">
        <f>D98/E102*F102</f>
        <v>0</v>
      </c>
      <c r="E102" s="56">
        <v>196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2023</v>
      </c>
      <c r="C103" s="44">
        <f>IF(ISNA(VLOOKUP(B103,TABLES!$B$4:$D$30,2,FALSE)),"NOT AVAILABLE",VLOOKUP(B103,TABLES!$B$4:$D$30,2,FALSE))</f>
        <v>66600</v>
      </c>
      <c r="D103" s="45">
        <f>IF(E98&gt;0,E98/E103*F103,D98/E103*F103)</f>
        <v>0</v>
      </c>
      <c r="E103" s="56">
        <v>196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2024</v>
      </c>
      <c r="C104" s="44">
        <f>IF(ISNA(VLOOKUP(B104,TABLES!$B$4:$D$30,2,FALSE)),"NOT AVAILABLE",VLOOKUP(B104,TABLES!$B$4:$D$30,2,FALSE))</f>
        <v>68500</v>
      </c>
      <c r="D104" s="45">
        <f>IF(C104="NOT AVAILABLE",0,F98/E104*F104)</f>
        <v>408.16326530612247</v>
      </c>
      <c r="E104" s="56">
        <v>196</v>
      </c>
      <c r="F104" s="57">
        <v>1</v>
      </c>
      <c r="G104" s="48">
        <f>IF(C104="NOT AVAILABLE",0,ROUND(((MIN(F98,C104)*8.8%+MAX(F98-C104,0)*10.4%))*F104/E104,2))</f>
        <v>36.86</v>
      </c>
      <c r="H104" s="58">
        <v>36</v>
      </c>
      <c r="I104" s="96">
        <f>(G104*H104)</f>
        <v>1326.96</v>
      </c>
      <c r="J104" s="91">
        <v>0</v>
      </c>
    </row>
    <row r="105" spans="1:10" x14ac:dyDescent="0.3">
      <c r="A105" s="42" t="s">
        <v>20</v>
      </c>
      <c r="B105" s="43">
        <v>2024</v>
      </c>
      <c r="C105" s="44">
        <f>IF(ISNA(VLOOKUP(B105,TABLES!$B$4:$D$30,2,FALSE)),"NOT AVAILABLE",VLOOKUP(B105,TABLES!$B$4:$D$30,2,FALSE))</f>
        <v>68500</v>
      </c>
      <c r="D105" s="45">
        <f>IF(C105="NOT AVAILABLE",0,IF(G98&gt;0,G98/E105*F105,F98/E105*F105))</f>
        <v>420.91836734693879</v>
      </c>
      <c r="E105" s="56">
        <v>196</v>
      </c>
      <c r="F105" s="57">
        <v>1</v>
      </c>
      <c r="G105" s="48">
        <f>IF(C105="NOT AVAILABLE",0,ROUND(((MIN(G98,C105)*8.8%+MAX(G98-C105,0)*10.4%))*F105/E105,2))</f>
        <v>38.18</v>
      </c>
      <c r="H105" s="58">
        <v>64</v>
      </c>
      <c r="I105" s="96">
        <f>(G105*H105)</f>
        <v>2443.52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3770.48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3770.48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C291-F24F-42EC-B8A8-89D329B5114D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2022</v>
      </c>
      <c r="B19" s="106">
        <f>IF(ISNA(VLOOKUP(A19,TABLES!$B$4:$D$30,3,FALSE)),"NOT AVAILABLE",VLOOKUP(A19,TABLES!$B$4:$D$30,3,FALSE))</f>
        <v>190470</v>
      </c>
      <c r="C19" s="107"/>
      <c r="D19" s="20"/>
      <c r="E19" s="20"/>
      <c r="F19" s="20"/>
      <c r="O19" s="12"/>
    </row>
    <row r="20" spans="1:15" x14ac:dyDescent="0.3">
      <c r="A20" s="98">
        <v>2023</v>
      </c>
      <c r="B20" s="108">
        <f>IF(ISNA(VLOOKUP(A20,TABLES!$B$4:$D$30,3,FALSE)),"NOT AVAILABLE",VLOOKUP(A20,TABLES!$B$4:$D$30,3,FALSE))</f>
        <v>195313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2022</v>
      </c>
      <c r="C28" s="44">
        <f>IF(ISNA(VLOOKUP(B28,TABLES!$B$4:$D$30,2,FALSE)),"NOT AVAILABLE",VLOOKUP(B28,TABLES!$B$4:$D$30,2,FALSE))</f>
        <v>64900</v>
      </c>
      <c r="D28" s="67">
        <f>D24/E28*F28</f>
        <v>0</v>
      </c>
      <c r="E28" s="68">
        <v>193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2022</v>
      </c>
      <c r="C29" s="44">
        <f>IF(ISNA(VLOOKUP(B29,TABLES!$B$4:$D$30,2,FALSE)),"NOT AVAILABLE",VLOOKUP(B29,TABLES!$B$4:$D$30,2,FALSE))</f>
        <v>64900</v>
      </c>
      <c r="D29" s="67">
        <f>IF(E24&gt;0,E24/E29*F29,D24/E29*F29)</f>
        <v>0</v>
      </c>
      <c r="E29" s="68">
        <v>193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2022</v>
      </c>
      <c r="C30" s="44">
        <f>IF(ISNA(VLOOKUP(B30,TABLES!$B$4:$D$30,2,FALSE)),"NOT AVAILABLE",VLOOKUP(B30,TABLES!$B$4:$D$30,2,FALSE))</f>
        <v>64900</v>
      </c>
      <c r="D30" s="67">
        <f>IF(F24&gt;0,F24/E30*F30,IF(E24&gt;0,E24/E30*F30,D24/E30*F30))</f>
        <v>0</v>
      </c>
      <c r="E30" s="68">
        <v>193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2023</v>
      </c>
      <c r="C31" s="44">
        <f>IF(ISNA(VLOOKUP(B31,TABLES!$B$4:$D$30,2,FALSE)),"NOT AVAILABLE",VLOOKUP(B31,TABLES!$B$4:$D$30,2,FALSE))</f>
        <v>66600</v>
      </c>
      <c r="D31" s="67">
        <f>IF(C31="NOT AVAILABLE",0,G24/E31*F31)</f>
        <v>0</v>
      </c>
      <c r="E31" s="68">
        <v>193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2023</v>
      </c>
      <c r="C32" s="44">
        <f>IF(ISNA(VLOOKUP(B32,TABLES!$B$4:$D$30,2,FALSE)),"NOT AVAILABLE",VLOOKUP(B32,TABLES!$B$4:$D$30,2,FALSE))</f>
        <v>66600</v>
      </c>
      <c r="D32" s="67">
        <f>IF(C32="NOT AVAILABLE",0,IF(H24&gt;0,H24/E32*F32,G24/E32*F32))</f>
        <v>0</v>
      </c>
      <c r="E32" s="68">
        <v>193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2023</v>
      </c>
      <c r="C33" s="44">
        <f>IF(ISNA(VLOOKUP(B33,TABLES!$B$4:$D$30,2,FALSE)),"NOT AVAILABLE",VLOOKUP(B33,TABLES!$B$4:$D$30,2,FALSE))</f>
        <v>66600</v>
      </c>
      <c r="D33" s="67">
        <f>IF(C33="NOT AVAILABLE",0,IF(I24&gt;0,I24/E33*F33,IF(H24&gt;0,H24/E33*F33,G24/E33*F33)))</f>
        <v>0</v>
      </c>
      <c r="E33" s="68">
        <v>193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53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56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2022</v>
      </c>
      <c r="C80" s="44">
        <f>IF(ISNA(VLOOKUP(B80,TABLES!$B$4:$D$30,2,FALSE)),"NOT AVAILABLE",VLOOKUP(B80,TABLES!$B$4:$D$30,2,FALSE))</f>
        <v>64900</v>
      </c>
      <c r="D80" s="67">
        <f>D76/E80*F80</f>
        <v>207.25388601036269</v>
      </c>
      <c r="E80" s="88">
        <v>193</v>
      </c>
      <c r="F80" s="89">
        <v>0.5</v>
      </c>
      <c r="G80" s="70">
        <f>ROUND(((MIN(D76,C80)*8.8%+MAX(D76-C80,0)*10.4%))*F80/E80,2)</f>
        <v>18.86</v>
      </c>
      <c r="H80" s="90">
        <v>38</v>
      </c>
      <c r="I80" s="72">
        <f>(G80*H80)</f>
        <v>716.68</v>
      </c>
      <c r="J80" s="91">
        <v>0</v>
      </c>
    </row>
    <row r="81" spans="1:10" x14ac:dyDescent="0.3">
      <c r="A81" s="42" t="s">
        <v>19</v>
      </c>
      <c r="B81" s="43">
        <v>2022</v>
      </c>
      <c r="C81" s="44">
        <f>IF(ISNA(VLOOKUP(B81,TABLES!$B$4:$D$30,2,FALSE)),"NOT AVAILABLE",VLOOKUP(B81,TABLES!$B$4:$D$30,2,FALSE))</f>
        <v>64900</v>
      </c>
      <c r="D81" s="67">
        <f>IF(E76&gt;0,E76/E81*F81,D76/E81*F81)</f>
        <v>414.50777202072538</v>
      </c>
      <c r="E81" s="88">
        <v>193</v>
      </c>
      <c r="F81" s="89">
        <v>1</v>
      </c>
      <c r="G81" s="70">
        <f>ROUND(((MIN(D76,C81)*8.8%+MAX(D76-C81,0)*10.4%))*F81/E81,2)</f>
        <v>37.729999999999997</v>
      </c>
      <c r="H81" s="90">
        <v>36</v>
      </c>
      <c r="I81" s="72">
        <f>(G81*H81)</f>
        <v>1358.28</v>
      </c>
      <c r="J81" s="91">
        <v>0</v>
      </c>
    </row>
    <row r="82" spans="1:10" x14ac:dyDescent="0.3">
      <c r="A82" s="42" t="s">
        <v>20</v>
      </c>
      <c r="B82" s="43">
        <v>2023</v>
      </c>
      <c r="C82" s="44">
        <f>IF(ISNA(VLOOKUP(B82,TABLES!$B$4:$D$30,2,FALSE)),"NOT AVAILABLE",VLOOKUP(B82,TABLES!$B$4:$D$30,2,FALSE))</f>
        <v>66600</v>
      </c>
      <c r="D82" s="67">
        <f>IF(C82="NOT AVAILABLE",0,F76/E82*F82)</f>
        <v>414.50777202072538</v>
      </c>
      <c r="E82" s="88">
        <v>193</v>
      </c>
      <c r="F82" s="89">
        <v>1</v>
      </c>
      <c r="G82" s="70">
        <f>IF(C82="NOT AVAILABLE",0,ROUND(((MIN(F76,C82)*8.8%+MAX(F76-C82,0)*10.4%))*F82/E82,2))</f>
        <v>37.590000000000003</v>
      </c>
      <c r="H82" s="90">
        <v>56</v>
      </c>
      <c r="I82" s="72">
        <f>(G82*H82)</f>
        <v>2105.04</v>
      </c>
      <c r="J82" s="91">
        <v>120</v>
      </c>
    </row>
    <row r="83" spans="1:10" x14ac:dyDescent="0.3">
      <c r="A83" s="42" t="s">
        <v>20</v>
      </c>
      <c r="B83" s="43">
        <v>2023</v>
      </c>
      <c r="C83" s="44">
        <f>IF(ISNA(VLOOKUP(B83,TABLES!$B$4:$D$30,2,FALSE)),"NOT AVAILABLE",VLOOKUP(B83,TABLES!$B$4:$D$30,2,FALSE))</f>
        <v>66600</v>
      </c>
      <c r="D83" s="67">
        <f>IF(C83="NOT AVAILABLE",0,IF(G76&gt;0,G76/E83*F83,F76/E83*F83))</f>
        <v>414.50777202072538</v>
      </c>
      <c r="E83" s="88">
        <v>193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4180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4192.4799999999996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54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58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55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2022</v>
      </c>
      <c r="C102" s="44">
        <f>IF(ISNA(VLOOKUP(B102,TABLES!$B$4:$D$30,2,FALSE)),"NOT AVAILABLE",VLOOKUP(B102,TABLES!$B$4:$D$30,2,FALSE))</f>
        <v>64900</v>
      </c>
      <c r="D102" s="45">
        <f>D98/E102*F102</f>
        <v>0</v>
      </c>
      <c r="E102" s="56">
        <v>193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2022</v>
      </c>
      <c r="C103" s="44">
        <f>IF(ISNA(VLOOKUP(B103,TABLES!$B$4:$D$30,2,FALSE)),"NOT AVAILABLE",VLOOKUP(B103,TABLES!$B$4:$D$30,2,FALSE))</f>
        <v>64900</v>
      </c>
      <c r="D103" s="45">
        <f>IF(E98&gt;0,E98/E103*F103,D98/E103*F103)</f>
        <v>0</v>
      </c>
      <c r="E103" s="56">
        <v>193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2023</v>
      </c>
      <c r="C104" s="44">
        <f>IF(ISNA(VLOOKUP(B104,TABLES!$B$4:$D$30,2,FALSE)),"NOT AVAILABLE",VLOOKUP(B104,TABLES!$B$4:$D$30,2,FALSE))</f>
        <v>66600</v>
      </c>
      <c r="D104" s="45">
        <f>IF(C104="NOT AVAILABLE",0,F98/E104*F104)</f>
        <v>414.50777202072538</v>
      </c>
      <c r="E104" s="56">
        <v>193</v>
      </c>
      <c r="F104" s="57">
        <v>1</v>
      </c>
      <c r="G104" s="48">
        <f>IF(C104="NOT AVAILABLE",0,ROUND(((MIN(F98,C104)*8.8%+MAX(F98-C104,0)*10.4%))*F104/E104,2))</f>
        <v>37.590000000000003</v>
      </c>
      <c r="H104" s="58">
        <v>37</v>
      </c>
      <c r="I104" s="96">
        <f>(G104*H104)</f>
        <v>1390.8300000000002</v>
      </c>
      <c r="J104" s="91">
        <v>0</v>
      </c>
    </row>
    <row r="105" spans="1:10" x14ac:dyDescent="0.3">
      <c r="A105" s="42" t="s">
        <v>20</v>
      </c>
      <c r="B105" s="43">
        <v>2023</v>
      </c>
      <c r="C105" s="44">
        <f>IF(ISNA(VLOOKUP(B105,TABLES!$B$4:$D$30,2,FALSE)),"NOT AVAILABLE",VLOOKUP(B105,TABLES!$B$4:$D$30,2,FALSE))</f>
        <v>66600</v>
      </c>
      <c r="D105" s="45">
        <f>IF(C105="NOT AVAILABLE",0,IF(G98&gt;0,G98/E105*F105,F98/E105*F105))</f>
        <v>427.46113989637308</v>
      </c>
      <c r="E105" s="56">
        <v>193</v>
      </c>
      <c r="F105" s="57">
        <v>1</v>
      </c>
      <c r="G105" s="48">
        <f>IF(C105="NOT AVAILABLE",0,ROUND(((MIN(G98,C105)*8.8%+MAX(G98-C105,0)*10.4%))*F105/E105,2))</f>
        <v>38.93</v>
      </c>
      <c r="H105" s="58">
        <v>63</v>
      </c>
      <c r="I105" s="96">
        <f>(G105*H105)</f>
        <v>2452.59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3843.42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3843.42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password="DB65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A0E3-9E71-4D9E-A5F2-7B4E02AF85F7}">
  <dimension ref="A1:O108"/>
  <sheetViews>
    <sheetView showGridLines="0" zoomScaleNormal="100" zoomScaleSheetLayoutView="100" workbookViewId="0"/>
  </sheetViews>
  <sheetFormatPr defaultColWidth="11.5546875" defaultRowHeight="13.8" x14ac:dyDescent="0.3"/>
  <cols>
    <col min="1" max="10" width="15.5546875" style="8" customWidth="1"/>
    <col min="11" max="11" width="2.5546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1"/>
      <c r="K1" s="12"/>
      <c r="L1" s="12"/>
      <c r="M1" s="12"/>
      <c r="N1" s="12"/>
      <c r="O1" s="12"/>
    </row>
    <row r="2" spans="1:15" ht="12.75" customHeight="1" x14ac:dyDescent="0.3">
      <c r="A2" s="7"/>
      <c r="B2" s="7"/>
      <c r="G2" s="13"/>
      <c r="H2" s="14"/>
      <c r="I2" s="14"/>
      <c r="J2" s="15"/>
      <c r="K2" s="12"/>
      <c r="L2" s="12"/>
      <c r="M2" s="12"/>
      <c r="N2" s="12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5"/>
      <c r="K3" s="12"/>
      <c r="L3" s="12"/>
      <c r="M3" s="12"/>
      <c r="N3" s="12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5"/>
      <c r="K4" s="12"/>
      <c r="L4" s="12"/>
      <c r="M4" s="12"/>
      <c r="N4" s="12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5"/>
      <c r="K5" s="12"/>
      <c r="L5" s="12"/>
      <c r="M5" s="12"/>
      <c r="N5" s="12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5"/>
      <c r="K6" s="12"/>
      <c r="L6" s="12"/>
      <c r="M6" s="12"/>
      <c r="N6" s="12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5"/>
      <c r="K7" s="12"/>
      <c r="L7" s="12"/>
      <c r="M7" s="12"/>
      <c r="N7" s="12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5"/>
      <c r="K8" s="12"/>
      <c r="L8" s="12"/>
      <c r="M8" s="12"/>
      <c r="N8" s="12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5"/>
      <c r="K9" s="12"/>
      <c r="L9" s="12"/>
      <c r="M9" s="12"/>
      <c r="N9" s="12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9"/>
      <c r="K10" s="12"/>
      <c r="L10" s="12"/>
      <c r="M10" s="12"/>
      <c r="N10" s="12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O16" s="12"/>
    </row>
    <row r="17" spans="1:15" x14ac:dyDescent="0.3">
      <c r="A17" s="100" t="s">
        <v>1</v>
      </c>
      <c r="B17" s="101"/>
      <c r="C17" s="102"/>
      <c r="D17" s="20"/>
      <c r="E17" s="20"/>
      <c r="F17" s="20"/>
      <c r="O17" s="12"/>
    </row>
    <row r="18" spans="1:15" x14ac:dyDescent="0.3">
      <c r="A18" s="103" t="s">
        <v>38</v>
      </c>
      <c r="B18" s="104"/>
      <c r="C18" s="105"/>
      <c r="D18" s="20"/>
      <c r="E18" s="20"/>
      <c r="F18" s="20"/>
      <c r="O18" s="12"/>
    </row>
    <row r="19" spans="1:15" x14ac:dyDescent="0.3">
      <c r="A19" s="92">
        <v>2021</v>
      </c>
      <c r="B19" s="106">
        <f>IF(ISNA(VLOOKUP(A19,TABLES!$B$4:$D$30,3,FALSE)),"NOT AVAILABLE",VLOOKUP(A19,TABLES!$B$4:$D$30,3,FALSE))</f>
        <v>180758</v>
      </c>
      <c r="C19" s="107"/>
      <c r="D19" s="20"/>
      <c r="E19" s="20"/>
      <c r="F19" s="20"/>
      <c r="O19" s="12"/>
    </row>
    <row r="20" spans="1:15" x14ac:dyDescent="0.3">
      <c r="A20" s="98">
        <v>2022</v>
      </c>
      <c r="B20" s="108">
        <f>IF(ISNA(VLOOKUP(A20,TABLES!$B$4:$D$30,3,FALSE)),"NOT AVAILABLE",VLOOKUP(A20,TABLES!$B$4:$D$30,3,FALSE))</f>
        <v>190470</v>
      </c>
      <c r="C20" s="109"/>
      <c r="D20" s="20"/>
      <c r="E20" s="20"/>
      <c r="F20" s="20"/>
      <c r="O20" s="12"/>
    </row>
    <row r="21" spans="1:15" x14ac:dyDescent="0.3">
      <c r="A21" s="25"/>
      <c r="B21" s="20"/>
      <c r="C21" s="20"/>
      <c r="D21" s="20"/>
      <c r="E21" s="20"/>
      <c r="F21" s="20"/>
      <c r="K21" s="2"/>
      <c r="O21" s="12"/>
    </row>
    <row r="22" spans="1:15" x14ac:dyDescent="0.3">
      <c r="A22" s="31" t="s">
        <v>2</v>
      </c>
      <c r="B22" s="20"/>
      <c r="C22" s="20"/>
      <c r="D22" s="62" t="s">
        <v>27</v>
      </c>
      <c r="E22" s="62" t="s">
        <v>27</v>
      </c>
      <c r="F22" s="62" t="s">
        <v>27</v>
      </c>
      <c r="G22" s="62" t="s">
        <v>20</v>
      </c>
      <c r="H22" s="62" t="s">
        <v>30</v>
      </c>
      <c r="I22" s="64" t="s">
        <v>30</v>
      </c>
      <c r="K22" s="2"/>
      <c r="O22" s="12"/>
    </row>
    <row r="23" spans="1:15" x14ac:dyDescent="0.3">
      <c r="A23" s="20"/>
      <c r="B23" s="20"/>
      <c r="C23" s="20"/>
      <c r="D23" s="63" t="s">
        <v>28</v>
      </c>
      <c r="E23" s="63" t="s">
        <v>29</v>
      </c>
      <c r="F23" s="63" t="s">
        <v>50</v>
      </c>
      <c r="G23" s="63" t="s">
        <v>28</v>
      </c>
      <c r="H23" s="63" t="s">
        <v>29</v>
      </c>
      <c r="I23" s="65" t="s">
        <v>50</v>
      </c>
      <c r="K23" s="2"/>
      <c r="O23" s="12"/>
    </row>
    <row r="24" spans="1:15" x14ac:dyDescent="0.3">
      <c r="A24" s="2"/>
      <c r="B24" s="31"/>
      <c r="C24" s="2"/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6">
        <v>0</v>
      </c>
      <c r="K24" s="2"/>
      <c r="O24" s="12"/>
    </row>
    <row r="25" spans="1:15" ht="10.199999999999999" customHeight="1" x14ac:dyDescent="0.3">
      <c r="A25" s="31"/>
      <c r="B25" s="31"/>
      <c r="O25" s="12"/>
    </row>
    <row r="26" spans="1:15" x14ac:dyDescent="0.3">
      <c r="A26" s="32" t="s">
        <v>3</v>
      </c>
      <c r="B26" s="33" t="s">
        <v>4</v>
      </c>
      <c r="C26" s="34"/>
      <c r="D26" s="35" t="s">
        <v>6</v>
      </c>
      <c r="E26" s="35" t="s">
        <v>7</v>
      </c>
      <c r="F26" s="35" t="s">
        <v>8</v>
      </c>
      <c r="G26" s="35" t="s">
        <v>9</v>
      </c>
      <c r="H26" s="36" t="s">
        <v>10</v>
      </c>
      <c r="I26" s="74" t="s">
        <v>9</v>
      </c>
      <c r="J26" s="76" t="s">
        <v>11</v>
      </c>
      <c r="O26" s="12"/>
    </row>
    <row r="27" spans="1:15" x14ac:dyDescent="0.3">
      <c r="A27" s="78"/>
      <c r="B27" s="79" t="s">
        <v>12</v>
      </c>
      <c r="C27" s="80" t="s">
        <v>5</v>
      </c>
      <c r="D27" s="81" t="s">
        <v>13</v>
      </c>
      <c r="E27" s="81" t="s">
        <v>14</v>
      </c>
      <c r="F27" s="81" t="s">
        <v>15</v>
      </c>
      <c r="G27" s="81" t="s">
        <v>16</v>
      </c>
      <c r="H27" s="82" t="s">
        <v>17</v>
      </c>
      <c r="I27" s="83" t="s">
        <v>31</v>
      </c>
      <c r="J27" s="84" t="s">
        <v>18</v>
      </c>
      <c r="O27" s="12"/>
    </row>
    <row r="28" spans="1:15" x14ac:dyDescent="0.3">
      <c r="A28" s="42" t="s">
        <v>19</v>
      </c>
      <c r="B28" s="43">
        <v>2021</v>
      </c>
      <c r="C28" s="44">
        <f>IF(ISNA(VLOOKUP(B28,TABLES!$B$4:$D$30,2,FALSE)),"NOT AVAILABLE",VLOOKUP(B28,TABLES!$B$4:$D$30,2,FALSE))</f>
        <v>61600</v>
      </c>
      <c r="D28" s="67">
        <f>D24/E28*F28</f>
        <v>0</v>
      </c>
      <c r="E28" s="68">
        <v>192</v>
      </c>
      <c r="F28" s="69">
        <v>1</v>
      </c>
      <c r="G28" s="70">
        <f>ROUND(((MIN(D24,C28)*8.8%+MIN(MAX(D24-C28,0),B19-C28)*10.4%))*F28/E28,2)</f>
        <v>0</v>
      </c>
      <c r="H28" s="71">
        <v>0</v>
      </c>
      <c r="I28" s="72">
        <f t="shared" ref="I28:I33" si="0">(G28*H28)</f>
        <v>0</v>
      </c>
      <c r="J28" s="73">
        <v>0</v>
      </c>
    </row>
    <row r="29" spans="1:15" x14ac:dyDescent="0.3">
      <c r="A29" s="42" t="s">
        <v>19</v>
      </c>
      <c r="B29" s="43">
        <v>2021</v>
      </c>
      <c r="C29" s="44">
        <f>IF(ISNA(VLOOKUP(B29,TABLES!$B$4:$D$30,2,FALSE)),"NOT AVAILABLE",VLOOKUP(B29,TABLES!$B$4:$D$30,2,FALSE))</f>
        <v>61600</v>
      </c>
      <c r="D29" s="67">
        <f>IF(E24&gt;0,E24/E29*F29,D24/E29*F29)</f>
        <v>0</v>
      </c>
      <c r="E29" s="68">
        <v>192</v>
      </c>
      <c r="F29" s="69">
        <v>1</v>
      </c>
      <c r="G29" s="70">
        <f>ROUND(((MIN(IF(E24&gt;0,E24,D24),C29)*8.8%+MIN(MAX(IF(E24&gt;0,E24,D24)-C29,0),B19-C29)*10.4%))*F29/E29,2)</f>
        <v>0</v>
      </c>
      <c r="H29" s="71">
        <v>0</v>
      </c>
      <c r="I29" s="72">
        <f t="shared" si="0"/>
        <v>0</v>
      </c>
      <c r="J29" s="73">
        <v>0</v>
      </c>
    </row>
    <row r="30" spans="1:15" x14ac:dyDescent="0.3">
      <c r="A30" s="42" t="s">
        <v>19</v>
      </c>
      <c r="B30" s="43">
        <v>2021</v>
      </c>
      <c r="C30" s="44">
        <f>IF(ISNA(VLOOKUP(B30,TABLES!$B$4:$D$30,2,FALSE)),"NOT AVAILABLE",VLOOKUP(B30,TABLES!$B$4:$D$30,2,FALSE))</f>
        <v>61600</v>
      </c>
      <c r="D30" s="67">
        <f>IF(F24&gt;0,F24/E30*F30,IF(E24&gt;0,E24/E30*F30,D24/E30*F30))</f>
        <v>0</v>
      </c>
      <c r="E30" s="68">
        <v>192</v>
      </c>
      <c r="F30" s="69">
        <v>1</v>
      </c>
      <c r="G30" s="70">
        <f>ROUND(((MIN(IF(F24&gt;0,F24,IF(E24&gt;0,E24,D24)),C30)*8.8%+MIN(MAX(IF(F24&gt;0,F24,IF(E24&gt;0,E24,D24))-C30,0),B19-C30)*10.4%))*F30/E30,2)</f>
        <v>0</v>
      </c>
      <c r="H30" s="71">
        <v>0</v>
      </c>
      <c r="I30" s="72">
        <f t="shared" si="0"/>
        <v>0</v>
      </c>
      <c r="J30" s="73">
        <v>0</v>
      </c>
    </row>
    <row r="31" spans="1:15" x14ac:dyDescent="0.3">
      <c r="A31" s="42" t="s">
        <v>20</v>
      </c>
      <c r="B31" s="43">
        <v>2022</v>
      </c>
      <c r="C31" s="44">
        <f>IF(ISNA(VLOOKUP(B31,TABLES!$B$4:$D$30,2,FALSE)),"NOT AVAILABLE",VLOOKUP(B31,TABLES!$B$4:$D$30,2,FALSE))</f>
        <v>64900</v>
      </c>
      <c r="D31" s="67">
        <f>IF(C31="NOT AVAILABLE",0,G24/E31*F31)</f>
        <v>0</v>
      </c>
      <c r="E31" s="68">
        <v>192</v>
      </c>
      <c r="F31" s="69">
        <v>1</v>
      </c>
      <c r="G31" s="70">
        <f>IF(C31="NOT AVAILABLE",0,ROUND(((MIN(G24,C31)*8.8%+MIN(MAX(G24-C31,0),B20-C31)*10.4%))*F31/E31,2))</f>
        <v>0</v>
      </c>
      <c r="H31" s="71">
        <v>0</v>
      </c>
      <c r="I31" s="72">
        <f t="shared" si="0"/>
        <v>0</v>
      </c>
      <c r="J31" s="73">
        <v>0</v>
      </c>
    </row>
    <row r="32" spans="1:15" x14ac:dyDescent="0.3">
      <c r="A32" s="42" t="s">
        <v>20</v>
      </c>
      <c r="B32" s="43">
        <v>2022</v>
      </c>
      <c r="C32" s="44">
        <f>IF(ISNA(VLOOKUP(B32,TABLES!$B$4:$D$30,2,FALSE)),"NOT AVAILABLE",VLOOKUP(B32,TABLES!$B$4:$D$30,2,FALSE))</f>
        <v>64900</v>
      </c>
      <c r="D32" s="67">
        <f>IF(C32="NOT AVAILABLE",0,IF(H24&gt;0,H24/E32*F32,G24/E32*F32))</f>
        <v>0</v>
      </c>
      <c r="E32" s="68">
        <v>192</v>
      </c>
      <c r="F32" s="69">
        <v>1</v>
      </c>
      <c r="G32" s="70">
        <f>IF(C32="NOT AVAILABLE",0,ROUND(((MIN(IF(H24&gt;0,H24,G24),C32)*8.8%+MIN(MAX(IF(H24&gt;0,H24,G24)-C32,0),B20-C32)*10.4%))*F32/E32,2))</f>
        <v>0</v>
      </c>
      <c r="H32" s="71">
        <v>0</v>
      </c>
      <c r="I32" s="72">
        <f t="shared" si="0"/>
        <v>0</v>
      </c>
      <c r="J32" s="73">
        <v>0</v>
      </c>
    </row>
    <row r="33" spans="1:11" x14ac:dyDescent="0.3">
      <c r="A33" s="42" t="s">
        <v>20</v>
      </c>
      <c r="B33" s="43">
        <v>2022</v>
      </c>
      <c r="C33" s="44">
        <f>IF(ISNA(VLOOKUP(B33,TABLES!$B$4:$D$30,2,FALSE)),"NOT AVAILABLE",VLOOKUP(B33,TABLES!$B$4:$D$30,2,FALSE))</f>
        <v>64900</v>
      </c>
      <c r="D33" s="67">
        <f>IF(C33="NOT AVAILABLE",0,IF(I24&gt;0,I24/E33*F33,IF(H24&gt;0,H24/E33*F33,G24/E33*F33)))</f>
        <v>0</v>
      </c>
      <c r="E33" s="68">
        <v>192</v>
      </c>
      <c r="F33" s="69">
        <v>1</v>
      </c>
      <c r="G33" s="70">
        <f>IF(C33="NOT AVAILABLE",0,ROUND(((MIN(IF(I24&gt;0,I24,IF(H24&gt;0,H24,G24)),C33)*8.8%+MIN(MAX(IF(I24&gt;0,I24,IF(H24&gt;0,H24,G24))-C33,0),B20-C33)*10.4%))*F33/E33,2))</f>
        <v>0</v>
      </c>
      <c r="H33" s="71">
        <v>0</v>
      </c>
      <c r="I33" s="72">
        <f t="shared" si="0"/>
        <v>0</v>
      </c>
      <c r="J33" s="73">
        <v>0</v>
      </c>
    </row>
    <row r="34" spans="1:11" x14ac:dyDescent="0.3">
      <c r="A34" s="2"/>
      <c r="B34" s="2"/>
      <c r="C34" s="50"/>
      <c r="D34" s="51"/>
      <c r="E34" s="1"/>
      <c r="F34" s="2"/>
      <c r="G34" s="52"/>
      <c r="H34" s="2"/>
      <c r="I34" s="72">
        <f>SUM(I28:I33)</f>
        <v>0</v>
      </c>
      <c r="J34" s="72">
        <f>+(J28+J29+J30+J31+J32+J33)*(10.4%)</f>
        <v>0</v>
      </c>
    </row>
    <row r="35" spans="1:11" x14ac:dyDescent="0.3">
      <c r="H35" s="53" t="s">
        <v>21</v>
      </c>
      <c r="I35" s="85">
        <f>I34+J34</f>
        <v>0</v>
      </c>
    </row>
    <row r="36" spans="1:11" x14ac:dyDescent="0.3">
      <c r="H36" s="53" t="s">
        <v>51</v>
      </c>
      <c r="I36" s="73">
        <v>0</v>
      </c>
    </row>
    <row r="37" spans="1:11" x14ac:dyDescent="0.3">
      <c r="H37" s="53" t="s">
        <v>52</v>
      </c>
      <c r="I37" s="85">
        <f>I35-I36</f>
        <v>0</v>
      </c>
    </row>
    <row r="39" spans="1:11" x14ac:dyDescent="0.3">
      <c r="A39" s="31" t="s">
        <v>47</v>
      </c>
    </row>
    <row r="40" spans="1:11" x14ac:dyDescent="0.3">
      <c r="A40" s="8" t="s">
        <v>32</v>
      </c>
    </row>
    <row r="41" spans="1:11" x14ac:dyDescent="0.3">
      <c r="A41" s="8" t="s">
        <v>33</v>
      </c>
    </row>
    <row r="42" spans="1:11" ht="14.4" thickBot="1" x14ac:dyDescent="0.35"/>
    <row r="43" spans="1:11" x14ac:dyDescent="0.3">
      <c r="A43" s="9" t="s">
        <v>43</v>
      </c>
      <c r="B43" s="10"/>
      <c r="C43" s="10"/>
      <c r="D43" s="10"/>
      <c r="E43" s="10"/>
      <c r="F43" s="10"/>
      <c r="G43" s="10"/>
      <c r="H43" s="10"/>
      <c r="I43" s="10"/>
      <c r="J43" s="11"/>
      <c r="K43" s="8"/>
    </row>
    <row r="44" spans="1:11" x14ac:dyDescent="0.3">
      <c r="A44" s="21"/>
      <c r="B44" s="14"/>
      <c r="C44" s="14"/>
      <c r="D44" s="14"/>
      <c r="E44" s="14"/>
      <c r="F44" s="14"/>
      <c r="G44" s="14"/>
      <c r="H44" s="14"/>
      <c r="I44" s="14"/>
      <c r="J44" s="15"/>
      <c r="K44" s="8"/>
    </row>
    <row r="45" spans="1:11" x14ac:dyDescent="0.3">
      <c r="A45" s="21"/>
      <c r="B45" s="14"/>
      <c r="C45" s="14"/>
      <c r="D45" s="14"/>
      <c r="E45" s="14"/>
      <c r="F45" s="14"/>
      <c r="G45" s="14"/>
      <c r="H45" s="14"/>
      <c r="I45" s="14"/>
      <c r="J45" s="15"/>
      <c r="K45" s="8"/>
    </row>
    <row r="46" spans="1:11" x14ac:dyDescent="0.3">
      <c r="A46" s="21"/>
      <c r="B46" s="14"/>
      <c r="C46" s="14"/>
      <c r="D46" s="14"/>
      <c r="E46" s="14"/>
      <c r="F46" s="14"/>
      <c r="G46" s="14"/>
      <c r="H46" s="14"/>
      <c r="I46" s="14"/>
      <c r="J46" s="15"/>
      <c r="K46" s="8"/>
    </row>
    <row r="47" spans="1:11" x14ac:dyDescent="0.3">
      <c r="A47" s="21"/>
      <c r="B47" s="14"/>
      <c r="C47" s="14"/>
      <c r="D47" s="14"/>
      <c r="E47" s="14"/>
      <c r="F47" s="14"/>
      <c r="G47" s="14"/>
      <c r="H47" s="14"/>
      <c r="I47" s="14"/>
      <c r="J47" s="15"/>
      <c r="K47" s="8"/>
    </row>
    <row r="48" spans="1:11" x14ac:dyDescent="0.3">
      <c r="A48" s="21"/>
      <c r="B48" s="14"/>
      <c r="C48" s="14"/>
      <c r="D48" s="14"/>
      <c r="E48" s="14"/>
      <c r="F48" s="14"/>
      <c r="G48" s="14"/>
      <c r="H48" s="14"/>
      <c r="I48" s="14"/>
      <c r="J48" s="15"/>
      <c r="K48" s="8"/>
    </row>
    <row r="49" spans="1:11" x14ac:dyDescent="0.3">
      <c r="A49" s="21"/>
      <c r="B49" s="14"/>
      <c r="C49" s="14"/>
      <c r="D49" s="14"/>
      <c r="E49" s="14"/>
      <c r="F49" s="14"/>
      <c r="G49" s="14"/>
      <c r="H49" s="14"/>
      <c r="I49" s="14"/>
      <c r="J49" s="15"/>
      <c r="K49" s="8"/>
    </row>
    <row r="50" spans="1:11" x14ac:dyDescent="0.3">
      <c r="A50" s="21"/>
      <c r="B50" s="14"/>
      <c r="C50" s="14"/>
      <c r="D50" s="14"/>
      <c r="E50" s="14"/>
      <c r="F50" s="14"/>
      <c r="G50" s="14"/>
      <c r="H50" s="14"/>
      <c r="I50" s="14"/>
      <c r="J50" s="15"/>
      <c r="K50" s="8"/>
    </row>
    <row r="51" spans="1:11" x14ac:dyDescent="0.3">
      <c r="A51" s="21"/>
      <c r="B51" s="14"/>
      <c r="C51" s="14"/>
      <c r="D51" s="14"/>
      <c r="E51" s="14"/>
      <c r="F51" s="14"/>
      <c r="G51" s="14"/>
      <c r="H51" s="14"/>
      <c r="I51" s="14"/>
      <c r="J51" s="15"/>
      <c r="K51" s="8"/>
    </row>
    <row r="52" spans="1:11" x14ac:dyDescent="0.3">
      <c r="A52" s="21"/>
      <c r="B52" s="14"/>
      <c r="C52" s="14"/>
      <c r="D52" s="14"/>
      <c r="E52" s="14"/>
      <c r="F52" s="14"/>
      <c r="G52" s="14"/>
      <c r="H52" s="14"/>
      <c r="I52" s="14"/>
      <c r="J52" s="15"/>
      <c r="K52" s="8"/>
    </row>
    <row r="53" spans="1:11" x14ac:dyDescent="0.3">
      <c r="A53" s="21"/>
      <c r="B53" s="14"/>
      <c r="C53" s="14"/>
      <c r="D53" s="14"/>
      <c r="E53" s="14"/>
      <c r="F53" s="14"/>
      <c r="G53" s="14"/>
      <c r="H53" s="14"/>
      <c r="I53" s="14"/>
      <c r="J53" s="15"/>
      <c r="K53" s="8"/>
    </row>
    <row r="54" spans="1:11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5"/>
      <c r="K54" s="8"/>
    </row>
    <row r="55" spans="1:11" x14ac:dyDescent="0.3">
      <c r="A55" s="21"/>
      <c r="B55" s="14"/>
      <c r="C55" s="14"/>
      <c r="D55" s="14"/>
      <c r="E55" s="14"/>
      <c r="F55" s="14"/>
      <c r="G55" s="14"/>
      <c r="H55" s="14"/>
      <c r="I55" s="14"/>
      <c r="J55" s="15"/>
      <c r="K55" s="8"/>
    </row>
    <row r="56" spans="1:11" x14ac:dyDescent="0.3">
      <c r="A56" s="21"/>
      <c r="B56" s="14"/>
      <c r="C56" s="14"/>
      <c r="D56" s="14"/>
      <c r="E56" s="14"/>
      <c r="F56" s="14"/>
      <c r="G56" s="14"/>
      <c r="H56" s="14"/>
      <c r="I56" s="14"/>
      <c r="J56" s="15"/>
      <c r="K56" s="8"/>
    </row>
    <row r="57" spans="1:11" x14ac:dyDescent="0.3">
      <c r="A57" s="21"/>
      <c r="B57" s="14"/>
      <c r="C57" s="14"/>
      <c r="D57" s="14"/>
      <c r="E57" s="14"/>
      <c r="F57" s="14"/>
      <c r="G57" s="14"/>
      <c r="H57" s="14"/>
      <c r="I57" s="14"/>
      <c r="J57" s="15"/>
      <c r="K57" s="8"/>
    </row>
    <row r="58" spans="1:11" x14ac:dyDescent="0.3">
      <c r="A58" s="21"/>
      <c r="B58" s="14"/>
      <c r="C58" s="14"/>
      <c r="D58" s="14"/>
      <c r="E58" s="14"/>
      <c r="F58" s="14"/>
      <c r="G58" s="14"/>
      <c r="H58" s="14"/>
      <c r="I58" s="14"/>
      <c r="J58" s="15"/>
      <c r="K58" s="8"/>
    </row>
    <row r="59" spans="1:11" x14ac:dyDescent="0.3">
      <c r="A59" s="21"/>
      <c r="B59" s="14"/>
      <c r="C59" s="14"/>
      <c r="D59" s="14"/>
      <c r="E59" s="14"/>
      <c r="F59" s="14"/>
      <c r="G59" s="14"/>
      <c r="H59" s="14"/>
      <c r="I59" s="14"/>
      <c r="J59" s="15"/>
      <c r="K59" s="8"/>
    </row>
    <row r="60" spans="1:11" x14ac:dyDescent="0.3">
      <c r="A60" s="21"/>
      <c r="B60" s="14"/>
      <c r="C60" s="14"/>
      <c r="D60" s="14"/>
      <c r="E60" s="14"/>
      <c r="F60" s="14"/>
      <c r="G60" s="14"/>
      <c r="H60" s="14"/>
      <c r="I60" s="14"/>
      <c r="J60" s="15"/>
      <c r="K60" s="8"/>
    </row>
    <row r="61" spans="1:11" ht="14.4" thickBot="1" x14ac:dyDescent="0.35">
      <c r="A61" s="27"/>
      <c r="B61" s="28"/>
      <c r="C61" s="28"/>
      <c r="D61" s="28"/>
      <c r="E61" s="28"/>
      <c r="F61" s="28"/>
      <c r="G61" s="28"/>
      <c r="H61" s="28"/>
      <c r="I61" s="28"/>
      <c r="J61" s="29"/>
      <c r="K61" s="8"/>
    </row>
    <row r="62" spans="1:11" x14ac:dyDescent="0.3">
      <c r="A62" s="54"/>
      <c r="B62" s="54"/>
      <c r="C62" s="54"/>
      <c r="D62" s="54"/>
      <c r="E62" s="54"/>
      <c r="F62" s="54"/>
      <c r="G62" s="54"/>
      <c r="H62" s="59"/>
      <c r="I62" s="60"/>
      <c r="J62" s="54"/>
    </row>
    <row r="64" spans="1:11" x14ac:dyDescent="0.3">
      <c r="A64" s="1" t="s">
        <v>24</v>
      </c>
      <c r="B64" s="2" t="s">
        <v>73</v>
      </c>
      <c r="D64" s="2"/>
      <c r="E64" s="2"/>
      <c r="F64" s="2"/>
      <c r="G64" s="2"/>
      <c r="H64" s="2"/>
      <c r="I64" s="2"/>
    </row>
    <row r="65" spans="1:10" ht="10.199999999999999" customHeight="1" x14ac:dyDescent="0.3">
      <c r="A65" s="1"/>
      <c r="B65" s="2"/>
      <c r="D65" s="2"/>
      <c r="E65" s="2"/>
      <c r="F65" s="2"/>
      <c r="G65" s="2"/>
      <c r="H65" s="2"/>
      <c r="I65" s="2"/>
    </row>
    <row r="66" spans="1:10" x14ac:dyDescent="0.3">
      <c r="A66" s="2"/>
      <c r="B66" s="55" t="s">
        <v>22</v>
      </c>
      <c r="D66" s="2"/>
      <c r="E66" s="2"/>
      <c r="F66" s="2"/>
      <c r="G66" s="2"/>
      <c r="H66" s="2"/>
      <c r="I66" s="2"/>
    </row>
    <row r="67" spans="1:10" x14ac:dyDescent="0.3">
      <c r="A67" s="2"/>
      <c r="B67" s="2" t="s">
        <v>40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57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74</v>
      </c>
      <c r="D69" s="2"/>
      <c r="E69" s="2"/>
      <c r="F69" s="2"/>
      <c r="G69" s="2"/>
      <c r="H69" s="2"/>
      <c r="I69" s="2"/>
    </row>
    <row r="70" spans="1:10" x14ac:dyDescent="0.3">
      <c r="A70" s="2"/>
      <c r="B70" s="2" t="s">
        <v>35</v>
      </c>
      <c r="D70" s="2"/>
      <c r="E70" s="2"/>
      <c r="F70" s="2"/>
      <c r="G70" s="2"/>
      <c r="H70" s="2"/>
      <c r="I70" s="2"/>
    </row>
    <row r="71" spans="1:10" x14ac:dyDescent="0.3">
      <c r="A71" s="2"/>
      <c r="B71" s="2" t="s">
        <v>36</v>
      </c>
      <c r="D71" s="2"/>
      <c r="E71" s="2"/>
      <c r="F71" s="2"/>
      <c r="G71" s="2"/>
      <c r="H71" s="2"/>
      <c r="I71" s="2"/>
    </row>
    <row r="72" spans="1:10" x14ac:dyDescent="0.3">
      <c r="A72" s="2"/>
      <c r="B72" s="2"/>
      <c r="D72" s="2"/>
      <c r="E72" s="2"/>
      <c r="F72" s="2"/>
      <c r="G72" s="2"/>
      <c r="H72" s="2"/>
      <c r="I72" s="2"/>
    </row>
    <row r="73" spans="1:10" x14ac:dyDescent="0.3">
      <c r="A73" s="31"/>
      <c r="B73" s="31"/>
      <c r="C73" s="2"/>
      <c r="D73" s="31"/>
      <c r="F73" s="2"/>
      <c r="G73" s="2"/>
      <c r="H73" s="2"/>
    </row>
    <row r="74" spans="1:10" x14ac:dyDescent="0.3">
      <c r="A74" s="31" t="s">
        <v>2</v>
      </c>
      <c r="B74" s="20"/>
      <c r="C74" s="20"/>
      <c r="D74" s="62" t="s">
        <v>27</v>
      </c>
      <c r="E74" s="62" t="s">
        <v>27</v>
      </c>
      <c r="F74" s="62" t="s">
        <v>20</v>
      </c>
      <c r="G74" s="64" t="s">
        <v>30</v>
      </c>
    </row>
    <row r="75" spans="1:10" x14ac:dyDescent="0.3">
      <c r="A75" s="20"/>
      <c r="B75" s="20"/>
      <c r="C75" s="20"/>
      <c r="D75" s="63" t="s">
        <v>28</v>
      </c>
      <c r="E75" s="63" t="s">
        <v>29</v>
      </c>
      <c r="F75" s="63" t="s">
        <v>28</v>
      </c>
      <c r="G75" s="65" t="s">
        <v>29</v>
      </c>
    </row>
    <row r="76" spans="1:10" x14ac:dyDescent="0.3">
      <c r="A76" s="2"/>
      <c r="B76" s="31"/>
      <c r="C76" s="2"/>
      <c r="D76" s="86">
        <v>80000</v>
      </c>
      <c r="E76" s="86">
        <v>0</v>
      </c>
      <c r="F76" s="86">
        <v>80000</v>
      </c>
      <c r="G76" s="87">
        <v>0</v>
      </c>
      <c r="H76" s="2"/>
    </row>
    <row r="77" spans="1:10" ht="10.199999999999999" customHeight="1" x14ac:dyDescent="0.3">
      <c r="A77" s="31"/>
      <c r="B77" s="31"/>
    </row>
    <row r="78" spans="1:10" x14ac:dyDescent="0.3">
      <c r="A78" s="32" t="s">
        <v>3</v>
      </c>
      <c r="B78" s="33" t="s">
        <v>4</v>
      </c>
      <c r="C78" s="34"/>
      <c r="D78" s="35" t="s">
        <v>6</v>
      </c>
      <c r="E78" s="35" t="s">
        <v>7</v>
      </c>
      <c r="F78" s="35" t="s">
        <v>8</v>
      </c>
      <c r="G78" s="35" t="s">
        <v>9</v>
      </c>
      <c r="H78" s="36" t="s">
        <v>10</v>
      </c>
      <c r="I78" s="74" t="s">
        <v>9</v>
      </c>
      <c r="J78" s="76" t="s">
        <v>11</v>
      </c>
    </row>
    <row r="79" spans="1:10" x14ac:dyDescent="0.3">
      <c r="A79" s="78"/>
      <c r="B79" s="79" t="s">
        <v>12</v>
      </c>
      <c r="C79" s="80" t="s">
        <v>5</v>
      </c>
      <c r="D79" s="81" t="s">
        <v>13</v>
      </c>
      <c r="E79" s="81" t="s">
        <v>14</v>
      </c>
      <c r="F79" s="81" t="s">
        <v>15</v>
      </c>
      <c r="G79" s="81" t="s">
        <v>16</v>
      </c>
      <c r="H79" s="82" t="s">
        <v>17</v>
      </c>
      <c r="I79" s="83" t="s">
        <v>31</v>
      </c>
      <c r="J79" s="84" t="s">
        <v>18</v>
      </c>
    </row>
    <row r="80" spans="1:10" x14ac:dyDescent="0.3">
      <c r="A80" s="42" t="s">
        <v>19</v>
      </c>
      <c r="B80" s="43">
        <v>2021</v>
      </c>
      <c r="C80" s="44">
        <f>IF(ISNA(VLOOKUP(B80,TABLES!$B$4:$D$30,2,FALSE)),"NOT AVAILABLE",VLOOKUP(B80,TABLES!$B$4:$D$30,2,FALSE))</f>
        <v>61600</v>
      </c>
      <c r="D80" s="67">
        <f>D76/E80*F80</f>
        <v>208.33333333333334</v>
      </c>
      <c r="E80" s="88">
        <v>192</v>
      </c>
      <c r="F80" s="89">
        <v>0.5</v>
      </c>
      <c r="G80" s="70">
        <f>ROUND(((MIN(D76,C80)*8.8%+MAX(D76-C80,0)*10.4%))*F80/E80,2)</f>
        <v>19.100000000000001</v>
      </c>
      <c r="H80" s="90">
        <v>37</v>
      </c>
      <c r="I80" s="72">
        <f>(G80*H80)</f>
        <v>706.7</v>
      </c>
      <c r="J80" s="91">
        <v>0</v>
      </c>
    </row>
    <row r="81" spans="1:10" x14ac:dyDescent="0.3">
      <c r="A81" s="42" t="s">
        <v>19</v>
      </c>
      <c r="B81" s="43">
        <v>2021</v>
      </c>
      <c r="C81" s="44">
        <f>IF(ISNA(VLOOKUP(B81,TABLES!$B$4:$D$30,2,FALSE)),"NOT AVAILABLE",VLOOKUP(B81,TABLES!$B$4:$D$30,2,FALSE))</f>
        <v>61600</v>
      </c>
      <c r="D81" s="67">
        <f>IF(E76&gt;0,E76/E81*F81,D76/E81*F81)</f>
        <v>416.66666666666669</v>
      </c>
      <c r="E81" s="88">
        <v>192</v>
      </c>
      <c r="F81" s="89">
        <v>1</v>
      </c>
      <c r="G81" s="70">
        <f>ROUND(((MIN(D76,C81)*8.8%+MAX(D76-C81,0)*10.4%))*F81/E81,2)</f>
        <v>38.200000000000003</v>
      </c>
      <c r="H81" s="90">
        <v>37</v>
      </c>
      <c r="I81" s="72">
        <f>(G81*H81)</f>
        <v>1413.4</v>
      </c>
      <c r="J81" s="91">
        <v>0</v>
      </c>
    </row>
    <row r="82" spans="1:10" x14ac:dyDescent="0.3">
      <c r="A82" s="42" t="s">
        <v>20</v>
      </c>
      <c r="B82" s="43">
        <v>2022</v>
      </c>
      <c r="C82" s="44">
        <f>IF(ISNA(VLOOKUP(B82,TABLES!$B$4:$D$30,2,FALSE)),"NOT AVAILABLE",VLOOKUP(B82,TABLES!$B$4:$D$30,2,FALSE))</f>
        <v>64900</v>
      </c>
      <c r="D82" s="67">
        <f>IF(C82="NOT AVAILABLE",0,F76/E82*F82)</f>
        <v>416.66666666666669</v>
      </c>
      <c r="E82" s="88">
        <v>192</v>
      </c>
      <c r="F82" s="89">
        <v>1</v>
      </c>
      <c r="G82" s="70">
        <f>IF(C82="NOT AVAILABLE",0,ROUND(((MIN(F76,C82)*8.8%+MAX(F76-C82,0)*10.4%))*F82/E82,2))</f>
        <v>37.93</v>
      </c>
      <c r="H82" s="90">
        <v>56</v>
      </c>
      <c r="I82" s="72">
        <f>(G82*H82)</f>
        <v>2124.08</v>
      </c>
      <c r="J82" s="91">
        <v>120</v>
      </c>
    </row>
    <row r="83" spans="1:10" x14ac:dyDescent="0.3">
      <c r="A83" s="42" t="s">
        <v>20</v>
      </c>
      <c r="B83" s="43">
        <v>2022</v>
      </c>
      <c r="C83" s="44">
        <f>IF(ISNA(VLOOKUP(B83,TABLES!$B$4:$D$30,2,FALSE)),"NOT AVAILABLE",VLOOKUP(B83,TABLES!$B$4:$D$30,2,FALSE))</f>
        <v>64900</v>
      </c>
      <c r="D83" s="67">
        <f>IF(C83="NOT AVAILABLE",0,IF(G76&gt;0,G76/E83*F83,F76/E83*F83))</f>
        <v>416.66666666666669</v>
      </c>
      <c r="E83" s="88">
        <v>192</v>
      </c>
      <c r="F83" s="89">
        <v>1</v>
      </c>
      <c r="G83" s="70">
        <f>IF(C83="NOT AVAILABLE",0,ROUND(((MIN(G76,C83)*8.8%+MAX(G76-C83,0)*10.4%))*F83/E83,2))</f>
        <v>0</v>
      </c>
      <c r="H83" s="90">
        <v>0</v>
      </c>
      <c r="I83" s="72">
        <f>(G83*H83)</f>
        <v>0</v>
      </c>
      <c r="J83" s="91">
        <v>0</v>
      </c>
    </row>
    <row r="84" spans="1:10" x14ac:dyDescent="0.3">
      <c r="A84" s="2"/>
      <c r="B84" s="2"/>
      <c r="C84" s="50"/>
      <c r="D84" s="51"/>
      <c r="E84" s="1"/>
      <c r="F84" s="2"/>
      <c r="G84" s="52"/>
      <c r="H84" s="2"/>
      <c r="I84" s="72">
        <f>SUM(I80:I83)</f>
        <v>4244.18</v>
      </c>
      <c r="J84" s="72">
        <f>+(J80+J81+J82+J83)*(10.4%)</f>
        <v>12.48</v>
      </c>
    </row>
    <row r="85" spans="1:10" x14ac:dyDescent="0.3">
      <c r="H85" s="53" t="s">
        <v>21</v>
      </c>
      <c r="I85" s="85">
        <f>I84+J84</f>
        <v>4256.66</v>
      </c>
    </row>
    <row r="86" spans="1:10" x14ac:dyDescent="0.3">
      <c r="A86" s="54"/>
      <c r="B86" s="54"/>
      <c r="C86" s="54"/>
      <c r="D86" s="54"/>
      <c r="E86" s="54"/>
      <c r="F86" s="54"/>
      <c r="G86" s="54"/>
      <c r="H86" s="59"/>
      <c r="I86" s="60"/>
      <c r="J86" s="54"/>
    </row>
    <row r="87" spans="1:10" x14ac:dyDescent="0.3">
      <c r="H87" s="53"/>
      <c r="I87" s="31"/>
    </row>
    <row r="88" spans="1:10" x14ac:dyDescent="0.3">
      <c r="A88" s="1" t="s">
        <v>24</v>
      </c>
      <c r="B88" s="2" t="s">
        <v>75</v>
      </c>
      <c r="D88" s="2"/>
      <c r="E88" s="2"/>
      <c r="F88" s="2"/>
      <c r="G88" s="2"/>
      <c r="H88" s="2"/>
      <c r="I88" s="2"/>
    </row>
    <row r="89" spans="1:10" ht="10.199999999999999" customHeight="1" x14ac:dyDescent="0.3">
      <c r="A89" s="1"/>
      <c r="B89" s="2"/>
      <c r="D89" s="2"/>
      <c r="E89" s="2"/>
      <c r="F89" s="2"/>
      <c r="G89" s="2"/>
      <c r="H89" s="2"/>
      <c r="I89" s="2"/>
    </row>
    <row r="90" spans="1:10" x14ac:dyDescent="0.3">
      <c r="A90" s="2"/>
      <c r="B90" s="2" t="s">
        <v>23</v>
      </c>
      <c r="D90" s="2"/>
      <c r="E90" s="2"/>
      <c r="F90" s="2"/>
      <c r="G90" s="2"/>
      <c r="H90" s="2"/>
      <c r="I90" s="2"/>
    </row>
    <row r="91" spans="1:10" x14ac:dyDescent="0.3">
      <c r="A91" s="2"/>
      <c r="B91" s="2" t="s">
        <v>42</v>
      </c>
      <c r="D91" s="2"/>
      <c r="E91" s="2"/>
      <c r="F91" s="2"/>
      <c r="G91" s="2"/>
      <c r="H91" s="2"/>
      <c r="I91" s="2"/>
    </row>
    <row r="92" spans="1:10" x14ac:dyDescent="0.3">
      <c r="A92" s="2"/>
      <c r="B92" s="2" t="s">
        <v>76</v>
      </c>
      <c r="D92" s="2"/>
      <c r="E92" s="2"/>
      <c r="F92" s="2"/>
      <c r="G92" s="2"/>
      <c r="H92" s="2"/>
      <c r="I92" s="2"/>
    </row>
    <row r="93" spans="1:10" x14ac:dyDescent="0.3">
      <c r="A93" s="2"/>
      <c r="B93" s="2" t="s">
        <v>77</v>
      </c>
      <c r="D93" s="2"/>
      <c r="E93" s="2"/>
      <c r="F93" s="2"/>
      <c r="G93" s="2"/>
      <c r="H93" s="2"/>
      <c r="I93" s="2"/>
    </row>
    <row r="94" spans="1:10" x14ac:dyDescent="0.3">
      <c r="A94" s="2"/>
      <c r="B94" s="2" t="s">
        <v>37</v>
      </c>
      <c r="D94" s="2"/>
      <c r="E94" s="2"/>
      <c r="F94" s="2"/>
      <c r="G94" s="2"/>
      <c r="H94" s="2"/>
      <c r="I94" s="2"/>
    </row>
    <row r="95" spans="1:10" ht="10.199999999999999" customHeight="1" x14ac:dyDescent="0.3">
      <c r="A95" s="31"/>
      <c r="B95" s="31"/>
      <c r="C95" s="2"/>
      <c r="D95" s="31"/>
      <c r="F95" s="2"/>
      <c r="G95" s="2"/>
      <c r="H95" s="2"/>
    </row>
    <row r="96" spans="1:10" x14ac:dyDescent="0.3">
      <c r="A96" s="31" t="s">
        <v>2</v>
      </c>
      <c r="B96" s="20"/>
      <c r="C96" s="20"/>
      <c r="D96" s="62" t="s">
        <v>27</v>
      </c>
      <c r="E96" s="62" t="s">
        <v>27</v>
      </c>
      <c r="F96" s="62" t="s">
        <v>20</v>
      </c>
      <c r="G96" s="64" t="s">
        <v>30</v>
      </c>
    </row>
    <row r="97" spans="1:10" x14ac:dyDescent="0.3">
      <c r="A97" s="20"/>
      <c r="B97" s="20"/>
      <c r="C97" s="20"/>
      <c r="D97" s="63" t="s">
        <v>28</v>
      </c>
      <c r="E97" s="63" t="s">
        <v>29</v>
      </c>
      <c r="F97" s="63" t="s">
        <v>28</v>
      </c>
      <c r="G97" s="65" t="s">
        <v>29</v>
      </c>
    </row>
    <row r="98" spans="1:10" x14ac:dyDescent="0.3">
      <c r="A98" s="2"/>
      <c r="B98" s="31"/>
      <c r="C98" s="2"/>
      <c r="D98" s="86">
        <v>0</v>
      </c>
      <c r="E98" s="86">
        <v>0</v>
      </c>
      <c r="F98" s="86">
        <v>80000</v>
      </c>
      <c r="G98" s="87">
        <v>82500</v>
      </c>
      <c r="H98" s="2"/>
    </row>
    <row r="99" spans="1:10" ht="10.199999999999999" customHeight="1" x14ac:dyDescent="0.3">
      <c r="A99" s="31"/>
      <c r="B99" s="31"/>
    </row>
    <row r="100" spans="1:10" x14ac:dyDescent="0.3">
      <c r="A100" s="32" t="s">
        <v>3</v>
      </c>
      <c r="B100" s="33" t="s">
        <v>4</v>
      </c>
      <c r="C100" s="34"/>
      <c r="D100" s="35" t="s">
        <v>6</v>
      </c>
      <c r="E100" s="35" t="s">
        <v>7</v>
      </c>
      <c r="F100" s="35" t="s">
        <v>8</v>
      </c>
      <c r="G100" s="35" t="s">
        <v>9</v>
      </c>
      <c r="H100" s="36" t="s">
        <v>10</v>
      </c>
      <c r="I100" s="74" t="s">
        <v>9</v>
      </c>
      <c r="J100" s="76" t="s">
        <v>11</v>
      </c>
    </row>
    <row r="101" spans="1:10" x14ac:dyDescent="0.3">
      <c r="A101" s="37"/>
      <c r="B101" s="38" t="s">
        <v>12</v>
      </c>
      <c r="C101" s="39" t="s">
        <v>5</v>
      </c>
      <c r="D101" s="40" t="s">
        <v>13</v>
      </c>
      <c r="E101" s="40" t="s">
        <v>14</v>
      </c>
      <c r="F101" s="40" t="s">
        <v>15</v>
      </c>
      <c r="G101" s="40" t="s">
        <v>16</v>
      </c>
      <c r="H101" s="41" t="s">
        <v>17</v>
      </c>
      <c r="I101" s="75" t="s">
        <v>31</v>
      </c>
      <c r="J101" s="77" t="s">
        <v>18</v>
      </c>
    </row>
    <row r="102" spans="1:10" x14ac:dyDescent="0.3">
      <c r="A102" s="42" t="s">
        <v>19</v>
      </c>
      <c r="B102" s="43">
        <v>2021</v>
      </c>
      <c r="C102" s="44">
        <f>IF(ISNA(VLOOKUP(B102,TABLES!$B$4:$D$30,2,FALSE)),"NOT AVAILABLE",VLOOKUP(B102,TABLES!$B$4:$D$30,2,FALSE))</f>
        <v>61600</v>
      </c>
      <c r="D102" s="45">
        <f>D98/E102*F102</f>
        <v>0</v>
      </c>
      <c r="E102" s="56">
        <v>192</v>
      </c>
      <c r="F102" s="57">
        <v>1</v>
      </c>
      <c r="G102" s="48">
        <f>ROUND(((MIN(D98,C102)*8.8%+MAX(D98-C102,0)*10.4%))*F102/E102,2)</f>
        <v>0</v>
      </c>
      <c r="H102" s="58">
        <v>0</v>
      </c>
      <c r="I102" s="96">
        <f>(G102*H102)</f>
        <v>0</v>
      </c>
      <c r="J102" s="91">
        <v>0</v>
      </c>
    </row>
    <row r="103" spans="1:10" x14ac:dyDescent="0.3">
      <c r="A103" s="42" t="s">
        <v>19</v>
      </c>
      <c r="B103" s="43">
        <v>2021</v>
      </c>
      <c r="C103" s="44">
        <f>IF(ISNA(VLOOKUP(B103,TABLES!$B$4:$D$30,2,FALSE)),"NOT AVAILABLE",VLOOKUP(B103,TABLES!$B$4:$D$30,2,FALSE))</f>
        <v>61600</v>
      </c>
      <c r="D103" s="45">
        <f>IF(E98&gt;0,E98/E103*F103,D98/E103*F103)</f>
        <v>0</v>
      </c>
      <c r="E103" s="56">
        <v>192</v>
      </c>
      <c r="F103" s="57">
        <v>1</v>
      </c>
      <c r="G103" s="48">
        <f>ROUND(((MIN(D98,C103)*8.8%+MAX(D98-C103,0)*10.4%))*F103/E103,2)</f>
        <v>0</v>
      </c>
      <c r="H103" s="58">
        <v>0</v>
      </c>
      <c r="I103" s="96">
        <f>(G103*H103)</f>
        <v>0</v>
      </c>
      <c r="J103" s="91">
        <v>0</v>
      </c>
    </row>
    <row r="104" spans="1:10" x14ac:dyDescent="0.3">
      <c r="A104" s="42" t="s">
        <v>20</v>
      </c>
      <c r="B104" s="43">
        <v>2022</v>
      </c>
      <c r="C104" s="44">
        <f>IF(ISNA(VLOOKUP(B104,TABLES!$B$4:$D$30,2,FALSE)),"NOT AVAILABLE",VLOOKUP(B104,TABLES!$B$4:$D$30,2,FALSE))</f>
        <v>64900</v>
      </c>
      <c r="D104" s="45">
        <f>IF(C104="NOT AVAILABLE",0,F98/E104*F104)</f>
        <v>416.66666666666669</v>
      </c>
      <c r="E104" s="56">
        <v>192</v>
      </c>
      <c r="F104" s="57">
        <v>1</v>
      </c>
      <c r="G104" s="48">
        <f>IF(C104="NOT AVAILABLE",0,ROUND(((MIN(F98,C104)*8.8%+MAX(F98-C104,0)*10.4%))*F104/E104,2))</f>
        <v>37.93</v>
      </c>
      <c r="H104" s="58">
        <v>38</v>
      </c>
      <c r="I104" s="96">
        <f>(G104*H104)</f>
        <v>1441.34</v>
      </c>
      <c r="J104" s="91">
        <v>0</v>
      </c>
    </row>
    <row r="105" spans="1:10" x14ac:dyDescent="0.3">
      <c r="A105" s="42" t="s">
        <v>20</v>
      </c>
      <c r="B105" s="43">
        <v>2022</v>
      </c>
      <c r="C105" s="44">
        <f>IF(ISNA(VLOOKUP(B105,TABLES!$B$4:$D$30,2,FALSE)),"NOT AVAILABLE",VLOOKUP(B105,TABLES!$B$4:$D$30,2,FALSE))</f>
        <v>64900</v>
      </c>
      <c r="D105" s="45">
        <f>IF(C105="NOT AVAILABLE",0,IF(G98&gt;0,G98/E105*F105,F98/E105*F105))</f>
        <v>429.6875</v>
      </c>
      <c r="E105" s="56">
        <v>192</v>
      </c>
      <c r="F105" s="57">
        <v>1</v>
      </c>
      <c r="G105" s="48">
        <f>IF(C105="NOT AVAILABLE",0,ROUND(((MIN(G98,C105)*8.8%+MAX(G98-C105,0)*10.4%))*F105/E105,2))</f>
        <v>39.28</v>
      </c>
      <c r="H105" s="58">
        <v>62</v>
      </c>
      <c r="I105" s="96">
        <f>(G105*H105)</f>
        <v>2435.36</v>
      </c>
      <c r="J105" s="91">
        <v>0</v>
      </c>
    </row>
    <row r="106" spans="1:10" x14ac:dyDescent="0.3">
      <c r="A106" s="2"/>
      <c r="B106" s="2"/>
      <c r="C106" s="50"/>
      <c r="D106" s="51"/>
      <c r="E106" s="1"/>
      <c r="F106" s="2"/>
      <c r="G106" s="52"/>
      <c r="H106" s="2"/>
      <c r="I106" s="97">
        <f>SUM(I102:I105)</f>
        <v>3876.7</v>
      </c>
      <c r="J106" s="72">
        <f>+(J102+J103+J104+J105)*(10.4%)</f>
        <v>0</v>
      </c>
    </row>
    <row r="107" spans="1:10" x14ac:dyDescent="0.3">
      <c r="H107" s="53" t="s">
        <v>21</v>
      </c>
      <c r="I107" s="85">
        <f>I106+J106</f>
        <v>3876.7</v>
      </c>
    </row>
    <row r="108" spans="1:10" x14ac:dyDescent="0.3">
      <c r="A108" s="54"/>
      <c r="B108" s="54"/>
      <c r="C108" s="54"/>
      <c r="D108" s="54"/>
      <c r="E108" s="54"/>
      <c r="F108" s="54"/>
      <c r="G108" s="54"/>
      <c r="H108" s="59"/>
      <c r="I108" s="60"/>
      <c r="J108" s="54"/>
    </row>
  </sheetData>
  <sheetProtection algorithmName="SHA-512" hashValue="1aulKjDT83C3/mOH4LWUG/VB3zAC8kIQ+LjoFSm+GYFSYcoUZKDnQ22TgrNgO3Yo2S7IYIpAmz49kGaOchpOzg==" saltValue="K9LJcuqs03qCk9f2bbsTHA==" spinCount="100000" sheet="1"/>
  <protectedRanges>
    <protectedRange sqref="J102:J105" name="Range13"/>
    <protectedRange sqref="E102:F105" name="Range11"/>
    <protectedRange sqref="J80:J83" name="Range9"/>
    <protectedRange sqref="E80:F83" name="Range7"/>
    <protectedRange sqref="I36" name="Range5"/>
    <protectedRange sqref="H28:H33" name="Range3"/>
    <protectedRange sqref="D24:I24" name="Range1"/>
    <protectedRange sqref="E28:F33" name="Range2"/>
    <protectedRange sqref="J28:J33" name="Range4"/>
    <protectedRange sqref="D76:G76" name="Range6"/>
    <protectedRange sqref="H80:H83" name="Range8"/>
    <protectedRange sqref="D98:G98" name="Range10"/>
    <protectedRange sqref="H102:H105" name="Range12"/>
  </protectedRanges>
  <mergeCells count="4">
    <mergeCell ref="A17:C17"/>
    <mergeCell ref="A18:C18"/>
    <mergeCell ref="B19:C19"/>
    <mergeCell ref="B20:C20"/>
  </mergeCells>
  <pageMargins left="0.5" right="0.5" top="0.5" bottom="0.5" header="0.2" footer="0.2"/>
  <pageSetup scale="65" fitToHeight="2" orientation="landscape" useFirstPageNumber="1" horizontalDpi="300" verticalDpi="300" r:id="rId1"/>
  <headerFooter alignWithMargins="0">
    <oddFooter>&amp;CPage &amp;P</oddFooter>
  </headerFooter>
  <rowBreaks count="1" manualBreakCount="1">
    <brk id="6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FE50-2F98-4476-AF9F-90231201155B}">
  <dimension ref="A1:O83"/>
  <sheetViews>
    <sheetView showGridLines="0" zoomScaleNormal="100" zoomScaleSheetLayoutView="145" workbookViewId="0">
      <selection activeCell="F27" sqref="F27"/>
    </sheetView>
  </sheetViews>
  <sheetFormatPr defaultColWidth="11.5546875" defaultRowHeight="13.8" x14ac:dyDescent="0.3"/>
  <cols>
    <col min="1" max="1" width="12.21875" style="8" customWidth="1"/>
    <col min="2" max="2" width="7.77734375" style="8" customWidth="1"/>
    <col min="3" max="9" width="15.77734375" style="8" customWidth="1"/>
    <col min="10" max="10" width="12.44140625" style="8" customWidth="1"/>
    <col min="11" max="11" width="2.21875" style="30" customWidth="1"/>
    <col min="12" max="14" width="15" style="8" customWidth="1"/>
    <col min="15" max="15" width="2.21875" style="8" bestFit="1" customWidth="1"/>
    <col min="16" max="16384" width="11.5546875" style="8"/>
  </cols>
  <sheetData>
    <row r="1" spans="1:15" ht="15.6" x14ac:dyDescent="0.3">
      <c r="A1" s="7" t="s">
        <v>39</v>
      </c>
      <c r="B1" s="7"/>
      <c r="G1" s="9" t="s">
        <v>43</v>
      </c>
      <c r="H1" s="10"/>
      <c r="I1" s="10"/>
      <c r="J1" s="10"/>
      <c r="K1" s="10"/>
      <c r="L1" s="10"/>
      <c r="M1" s="10"/>
      <c r="N1" s="11"/>
      <c r="O1" s="12"/>
    </row>
    <row r="2" spans="1:15" ht="12.75" customHeight="1" x14ac:dyDescent="0.3">
      <c r="A2" s="7"/>
      <c r="B2" s="7"/>
      <c r="G2" s="13"/>
      <c r="H2" s="14"/>
      <c r="I2" s="14"/>
      <c r="J2" s="14"/>
      <c r="K2" s="14"/>
      <c r="L2" s="14"/>
      <c r="M2" s="14"/>
      <c r="N2" s="15"/>
      <c r="O2" s="12"/>
    </row>
    <row r="3" spans="1:15" x14ac:dyDescent="0.3">
      <c r="A3" s="16" t="s">
        <v>25</v>
      </c>
      <c r="B3" s="17"/>
      <c r="C3" s="18"/>
      <c r="D3" s="19"/>
      <c r="E3" s="19"/>
      <c r="F3" s="20"/>
      <c r="G3" s="21"/>
      <c r="H3" s="14"/>
      <c r="I3" s="14"/>
      <c r="J3" s="14"/>
      <c r="K3" s="14"/>
      <c r="L3" s="14"/>
      <c r="M3" s="14"/>
      <c r="N3" s="15"/>
      <c r="O3" s="12"/>
    </row>
    <row r="4" spans="1:15" x14ac:dyDescent="0.3">
      <c r="A4" s="22" t="s">
        <v>26</v>
      </c>
      <c r="B4" s="23"/>
      <c r="C4" s="24"/>
      <c r="D4" s="23"/>
      <c r="E4" s="23"/>
      <c r="F4" s="20"/>
      <c r="G4" s="21"/>
      <c r="H4" s="14"/>
      <c r="I4" s="14"/>
      <c r="J4" s="14"/>
      <c r="K4" s="14"/>
      <c r="L4" s="14"/>
      <c r="M4" s="14"/>
      <c r="N4" s="15"/>
      <c r="O4" s="12"/>
    </row>
    <row r="5" spans="1:15" x14ac:dyDescent="0.3">
      <c r="A5" s="25"/>
      <c r="B5" s="20"/>
      <c r="C5" s="25"/>
      <c r="D5" s="20"/>
      <c r="E5" s="20"/>
      <c r="F5" s="20"/>
      <c r="G5" s="21"/>
      <c r="H5" s="14"/>
      <c r="I5" s="14"/>
      <c r="J5" s="14"/>
      <c r="K5" s="14"/>
      <c r="L5" s="14"/>
      <c r="M5" s="14"/>
      <c r="N5" s="15"/>
      <c r="O5" s="12"/>
    </row>
    <row r="6" spans="1:15" x14ac:dyDescent="0.3">
      <c r="A6" s="25" t="s">
        <v>0</v>
      </c>
      <c r="B6" s="20"/>
      <c r="C6" s="20"/>
      <c r="D6" s="20"/>
      <c r="E6" s="20"/>
      <c r="F6" s="20"/>
      <c r="G6" s="21"/>
      <c r="H6" s="14"/>
      <c r="I6" s="14"/>
      <c r="J6" s="14"/>
      <c r="K6" s="14"/>
      <c r="L6" s="14"/>
      <c r="M6" s="14"/>
      <c r="N6" s="15"/>
      <c r="O6" s="12"/>
    </row>
    <row r="7" spans="1:15" ht="10.199999999999999" customHeight="1" x14ac:dyDescent="0.3">
      <c r="A7" s="20"/>
      <c r="B7" s="20"/>
      <c r="C7" s="20"/>
      <c r="D7" s="20"/>
      <c r="E7" s="20"/>
      <c r="F7" s="20"/>
      <c r="G7" s="21"/>
      <c r="H7" s="14"/>
      <c r="I7" s="14"/>
      <c r="J7" s="14"/>
      <c r="K7" s="14"/>
      <c r="L7" s="14"/>
      <c r="M7" s="14"/>
      <c r="N7" s="15"/>
      <c r="O7" s="12"/>
    </row>
    <row r="8" spans="1:15" x14ac:dyDescent="0.3">
      <c r="A8" s="20" t="s">
        <v>59</v>
      </c>
      <c r="B8" s="20"/>
      <c r="C8" s="20"/>
      <c r="D8" s="20"/>
      <c r="E8" s="20"/>
      <c r="F8" s="20"/>
      <c r="G8" s="21"/>
      <c r="H8" s="14"/>
      <c r="I8" s="14"/>
      <c r="J8" s="14"/>
      <c r="K8" s="14"/>
      <c r="L8" s="14"/>
      <c r="M8" s="14"/>
      <c r="N8" s="15"/>
      <c r="O8" s="12"/>
    </row>
    <row r="9" spans="1:15" x14ac:dyDescent="0.3">
      <c r="A9" s="20" t="s">
        <v>60</v>
      </c>
      <c r="B9" s="20"/>
      <c r="C9" s="20"/>
      <c r="D9" s="20"/>
      <c r="E9" s="20"/>
      <c r="F9" s="20"/>
      <c r="G9" s="21"/>
      <c r="H9" s="14"/>
      <c r="I9" s="14"/>
      <c r="J9" s="14"/>
      <c r="K9" s="14"/>
      <c r="L9" s="14"/>
      <c r="M9" s="14"/>
      <c r="N9" s="15"/>
      <c r="O9" s="12"/>
    </row>
    <row r="10" spans="1:15" ht="14.4" thickBot="1" x14ac:dyDescent="0.35">
      <c r="A10" s="20" t="s">
        <v>61</v>
      </c>
      <c r="B10" s="20"/>
      <c r="C10" s="20"/>
      <c r="D10" s="20"/>
      <c r="E10" s="20"/>
      <c r="F10" s="26"/>
      <c r="G10" s="27"/>
      <c r="H10" s="28"/>
      <c r="I10" s="28"/>
      <c r="J10" s="28"/>
      <c r="K10" s="28"/>
      <c r="L10" s="28"/>
      <c r="M10" s="28"/>
      <c r="N10" s="29"/>
      <c r="O10" s="12"/>
    </row>
    <row r="11" spans="1:15" x14ac:dyDescent="0.3">
      <c r="A11" s="20" t="s">
        <v>62</v>
      </c>
      <c r="B11" s="20"/>
      <c r="C11" s="20"/>
      <c r="D11" s="20"/>
      <c r="E11" s="20"/>
      <c r="F11" s="20"/>
      <c r="O11" s="12"/>
    </row>
    <row r="12" spans="1:15" x14ac:dyDescent="0.3">
      <c r="A12" s="20" t="s">
        <v>63</v>
      </c>
      <c r="B12" s="20"/>
      <c r="C12" s="20"/>
      <c r="D12" s="20"/>
      <c r="E12" s="20"/>
      <c r="F12" s="20"/>
      <c r="O12" s="12"/>
    </row>
    <row r="13" spans="1:15" x14ac:dyDescent="0.3">
      <c r="A13" s="20" t="s">
        <v>64</v>
      </c>
      <c r="B13" s="20"/>
      <c r="C13" s="20"/>
      <c r="D13" s="20"/>
      <c r="E13" s="20"/>
      <c r="F13" s="20"/>
      <c r="O13" s="12"/>
    </row>
    <row r="14" spans="1:15" ht="10.199999999999999" customHeight="1" x14ac:dyDescent="0.3">
      <c r="A14" s="20"/>
      <c r="B14" s="20"/>
      <c r="C14" s="20"/>
      <c r="D14" s="20"/>
      <c r="E14" s="20"/>
      <c r="F14" s="20"/>
      <c r="O14" s="12"/>
    </row>
    <row r="15" spans="1:15" x14ac:dyDescent="0.3">
      <c r="A15" s="25" t="s">
        <v>34</v>
      </c>
      <c r="B15" s="20"/>
      <c r="C15" s="20"/>
      <c r="D15" s="20"/>
      <c r="E15" s="20"/>
      <c r="F15" s="20"/>
      <c r="O15" s="12"/>
    </row>
    <row r="16" spans="1:15" x14ac:dyDescent="0.3">
      <c r="A16" s="25"/>
      <c r="B16" s="20"/>
      <c r="C16" s="20"/>
      <c r="D16" s="20"/>
      <c r="E16" s="20"/>
      <c r="F16" s="20"/>
      <c r="K16" s="2"/>
      <c r="L16" s="100" t="s">
        <v>1</v>
      </c>
      <c r="M16" s="110"/>
      <c r="N16" s="111"/>
      <c r="O16" s="12"/>
    </row>
    <row r="17" spans="1:15" x14ac:dyDescent="0.3">
      <c r="A17" s="31" t="s">
        <v>2</v>
      </c>
      <c r="B17" s="20"/>
      <c r="C17" s="20"/>
      <c r="D17" s="62" t="s">
        <v>27</v>
      </c>
      <c r="E17" s="62" t="s">
        <v>27</v>
      </c>
      <c r="F17" s="62" t="s">
        <v>27</v>
      </c>
      <c r="G17" s="62" t="s">
        <v>20</v>
      </c>
      <c r="H17" s="62" t="s">
        <v>30</v>
      </c>
      <c r="I17" s="64" t="s">
        <v>30</v>
      </c>
      <c r="K17" s="2"/>
      <c r="L17" s="103" t="s">
        <v>38</v>
      </c>
      <c r="M17" s="112"/>
      <c r="N17" s="113"/>
      <c r="O17" s="12"/>
    </row>
    <row r="18" spans="1:15" x14ac:dyDescent="0.3">
      <c r="A18" s="20"/>
      <c r="B18" s="20"/>
      <c r="C18" s="20"/>
      <c r="D18" s="63" t="s">
        <v>28</v>
      </c>
      <c r="E18" s="63" t="s">
        <v>29</v>
      </c>
      <c r="F18" s="63" t="s">
        <v>50</v>
      </c>
      <c r="G18" s="63" t="s">
        <v>28</v>
      </c>
      <c r="H18" s="63" t="s">
        <v>29</v>
      </c>
      <c r="I18" s="65" t="s">
        <v>50</v>
      </c>
      <c r="K18" s="2"/>
      <c r="L18" s="92">
        <v>2020</v>
      </c>
      <c r="M18" s="93">
        <f>IF(ISNA(VLOOKUP(L18,TABLES!$B$4:$D$30,3,FALSE)),"NOT AVAILABLE",VLOOKUP(L18,TABLES!$B$4:$D$30,3,FALSE))</f>
        <v>172220.99999999997</v>
      </c>
      <c r="N18" s="94"/>
      <c r="O18" s="12"/>
    </row>
    <row r="19" spans="1:15" x14ac:dyDescent="0.3">
      <c r="A19" s="2"/>
      <c r="B19" s="31"/>
      <c r="C19" s="2"/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6">
        <v>0</v>
      </c>
      <c r="K19" s="2"/>
      <c r="L19" s="92">
        <v>2021</v>
      </c>
      <c r="M19" s="93">
        <f>IF(ISNA(VLOOKUP(L19,TABLES!$B$4:$D$30,3,FALSE)),"NOT AVAILABLE",VLOOKUP(L19,TABLES!$B$4:$D$30,3,FALSE))</f>
        <v>180758</v>
      </c>
      <c r="N19" s="95"/>
      <c r="O19" s="12"/>
    </row>
    <row r="20" spans="1:15" ht="10.199999999999999" customHeight="1" thickBot="1" x14ac:dyDescent="0.35">
      <c r="A20" s="31"/>
      <c r="B20" s="31"/>
      <c r="O20" s="12"/>
    </row>
    <row r="21" spans="1:15" x14ac:dyDescent="0.3">
      <c r="A21" s="32" t="s">
        <v>3</v>
      </c>
      <c r="B21" s="33" t="s">
        <v>4</v>
      </c>
      <c r="C21" s="34"/>
      <c r="D21" s="35" t="s">
        <v>6</v>
      </c>
      <c r="E21" s="35" t="s">
        <v>7</v>
      </c>
      <c r="F21" s="35" t="s">
        <v>8</v>
      </c>
      <c r="G21" s="35" t="s">
        <v>9</v>
      </c>
      <c r="H21" s="36" t="s">
        <v>10</v>
      </c>
      <c r="I21" s="74" t="s">
        <v>9</v>
      </c>
      <c r="J21" s="76" t="s">
        <v>11</v>
      </c>
      <c r="L21" s="9" t="s">
        <v>43</v>
      </c>
      <c r="M21" s="10"/>
      <c r="N21" s="11"/>
      <c r="O21" s="12"/>
    </row>
    <row r="22" spans="1:15" x14ac:dyDescent="0.3">
      <c r="A22" s="37"/>
      <c r="B22" s="38" t="s">
        <v>12</v>
      </c>
      <c r="C22" s="39" t="s">
        <v>5</v>
      </c>
      <c r="D22" s="40" t="s">
        <v>13</v>
      </c>
      <c r="E22" s="40" t="s">
        <v>14</v>
      </c>
      <c r="F22" s="40" t="s">
        <v>15</v>
      </c>
      <c r="G22" s="40" t="s">
        <v>16</v>
      </c>
      <c r="H22" s="41" t="s">
        <v>17</v>
      </c>
      <c r="I22" s="75" t="s">
        <v>31</v>
      </c>
      <c r="J22" s="77" t="s">
        <v>18</v>
      </c>
      <c r="L22" s="21"/>
      <c r="M22" s="14"/>
      <c r="N22" s="15"/>
      <c r="O22" s="12"/>
    </row>
    <row r="23" spans="1:15" x14ac:dyDescent="0.3">
      <c r="A23" s="42" t="s">
        <v>19</v>
      </c>
      <c r="B23" s="43">
        <v>2020</v>
      </c>
      <c r="C23" s="44">
        <f>IF(ISNA(VLOOKUP(B23,TABLES!$B$4:$D$30,2,FALSE)),"NOT AVAILABLE",VLOOKUP(B23,TABLES!$B$4:$D$30,2,FALSE))</f>
        <v>58700</v>
      </c>
      <c r="D23" s="45">
        <f>D19/E23*F23</f>
        <v>0</v>
      </c>
      <c r="E23" s="46">
        <v>196</v>
      </c>
      <c r="F23" s="47">
        <v>1</v>
      </c>
      <c r="G23" s="48">
        <f>ROUND(((MIN(D19,C23)*8.8%+MIN(MAX(D19-C23,0),M18-C23)*10.4%))*F23/E23,2)</f>
        <v>0</v>
      </c>
      <c r="H23" s="49">
        <v>0</v>
      </c>
      <c r="I23" s="96">
        <f t="shared" ref="I23:I28" si="0">(G23*H23)</f>
        <v>0</v>
      </c>
      <c r="J23" s="73">
        <v>0</v>
      </c>
      <c r="L23" s="21"/>
      <c r="M23" s="14"/>
      <c r="N23" s="15"/>
    </row>
    <row r="24" spans="1:15" x14ac:dyDescent="0.3">
      <c r="A24" s="42" t="s">
        <v>19</v>
      </c>
      <c r="B24" s="43">
        <v>2020</v>
      </c>
      <c r="C24" s="44">
        <f>IF(ISNA(VLOOKUP(B24,TABLES!$B$4:$D$30,2,FALSE)),"NOT AVAILABLE",VLOOKUP(B24,TABLES!$B$4:$D$30,2,FALSE))</f>
        <v>58700</v>
      </c>
      <c r="D24" s="45">
        <f>IF(E19&gt;0,E19/E24*F24,D19/E24*F24)</f>
        <v>0</v>
      </c>
      <c r="E24" s="46">
        <v>196</v>
      </c>
      <c r="F24" s="47">
        <v>1</v>
      </c>
      <c r="G24" s="48">
        <f>ROUND(((MIN(IF(E19&gt;0,E19,D19),C24)*8.8%+MIN(MAX(IF(E19&gt;0,E19,D19)-C24,0),M18-C24)*10.4%))*F24/E24,2)</f>
        <v>0</v>
      </c>
      <c r="H24" s="49">
        <v>0</v>
      </c>
      <c r="I24" s="96">
        <f t="shared" si="0"/>
        <v>0</v>
      </c>
      <c r="J24" s="73">
        <v>0</v>
      </c>
      <c r="L24" s="21"/>
      <c r="M24" s="14"/>
      <c r="N24" s="15"/>
    </row>
    <row r="25" spans="1:15" x14ac:dyDescent="0.3">
      <c r="A25" s="42" t="s">
        <v>19</v>
      </c>
      <c r="B25" s="43">
        <v>2020</v>
      </c>
      <c r="C25" s="44">
        <f>IF(ISNA(VLOOKUP(B25,TABLES!$B$4:$D$30,2,FALSE)),"NOT AVAILABLE",VLOOKUP(B25,TABLES!$B$4:$D$30,2,FALSE))</f>
        <v>58700</v>
      </c>
      <c r="D25" s="45">
        <f>IF(F19&gt;0,F19/E25*F25,IF(E19&gt;0,E19/E25*F25,D19/E25*F25))</f>
        <v>0</v>
      </c>
      <c r="E25" s="46">
        <v>196</v>
      </c>
      <c r="F25" s="47">
        <v>1</v>
      </c>
      <c r="G25" s="48">
        <f>ROUND(((MIN(IF(F19&gt;0,F19,IF(E19&gt;0,E19,D19)),C25)*8.8%+MIN(MAX(IF(F19&gt;0,F19,IF(E19&gt;0,E19,D19))-C25,0),M18-C25)*10.4%))*F25/E25,2)</f>
        <v>0</v>
      </c>
      <c r="H25" s="49">
        <v>0</v>
      </c>
      <c r="I25" s="96">
        <f t="shared" si="0"/>
        <v>0</v>
      </c>
      <c r="J25" s="73">
        <v>0</v>
      </c>
      <c r="L25" s="21"/>
      <c r="M25" s="14"/>
      <c r="N25" s="15"/>
    </row>
    <row r="26" spans="1:15" x14ac:dyDescent="0.3">
      <c r="A26" s="42" t="s">
        <v>20</v>
      </c>
      <c r="B26" s="43">
        <v>2021</v>
      </c>
      <c r="C26" s="44">
        <f>IF(ISNA(VLOOKUP(B26,TABLES!$B$4:$D$30,2,FALSE)),"NOT AVAILABLE",VLOOKUP(B26,TABLES!$B$4:$D$30,2,FALSE))</f>
        <v>61600</v>
      </c>
      <c r="D26" s="45">
        <f>IF(C26="NOT AVAILABLE",0,G19/E26*F26)</f>
        <v>0</v>
      </c>
      <c r="E26" s="46">
        <v>196</v>
      </c>
      <c r="F26" s="47">
        <v>1</v>
      </c>
      <c r="G26" s="48">
        <f>IF(C26="NOT AVAILABLE",0,ROUND(((MIN(G19,C26)*8.8%+MIN(MAX(G19-C26,0),M19-C26)*10.4%))*F26/E26,2))</f>
        <v>0</v>
      </c>
      <c r="H26" s="49">
        <v>0</v>
      </c>
      <c r="I26" s="96">
        <f t="shared" si="0"/>
        <v>0</v>
      </c>
      <c r="J26" s="73">
        <v>0</v>
      </c>
      <c r="L26" s="21"/>
      <c r="M26" s="14"/>
      <c r="N26" s="15"/>
    </row>
    <row r="27" spans="1:15" x14ac:dyDescent="0.3">
      <c r="A27" s="42" t="s">
        <v>20</v>
      </c>
      <c r="B27" s="43">
        <v>2021</v>
      </c>
      <c r="C27" s="44">
        <f>IF(ISNA(VLOOKUP(B27,TABLES!$B$4:$D$30,2,FALSE)),"NOT AVAILABLE",VLOOKUP(B27,TABLES!$B$4:$D$30,2,FALSE))</f>
        <v>61600</v>
      </c>
      <c r="D27" s="45">
        <f>IF(C27="NOT AVAILABLE",0,IF(H19&gt;0,H19/E27*F27,G19/E27*F27))</f>
        <v>0</v>
      </c>
      <c r="E27" s="46">
        <v>196</v>
      </c>
      <c r="F27" s="47">
        <v>1</v>
      </c>
      <c r="G27" s="48">
        <f>IF(C27="NOT AVAILABLE",0,ROUND(((MIN(IF(H19&gt;0,H19,G19),C27)*8.8%+MIN(MAX(IF(H19&gt;0,H19,G19)-C27,0),M19-C27)*10.4%))*F27/E27,2))</f>
        <v>0</v>
      </c>
      <c r="H27" s="49">
        <v>0</v>
      </c>
      <c r="I27" s="96">
        <f t="shared" si="0"/>
        <v>0</v>
      </c>
      <c r="J27" s="73">
        <v>0</v>
      </c>
      <c r="L27" s="21"/>
      <c r="M27" s="14"/>
      <c r="N27" s="15"/>
    </row>
    <row r="28" spans="1:15" x14ac:dyDescent="0.3">
      <c r="A28" s="42" t="s">
        <v>20</v>
      </c>
      <c r="B28" s="43">
        <v>2021</v>
      </c>
      <c r="C28" s="44">
        <f>IF(ISNA(VLOOKUP(B28,TABLES!$B$4:$D$30,2,FALSE)),"NOT AVAILABLE",VLOOKUP(B28,TABLES!$B$4:$D$30,2,FALSE))</f>
        <v>61600</v>
      </c>
      <c r="D28" s="45">
        <f>IF(C28="NOT AVAILABLE",0,IF(I19&gt;0,I19/E28*F28,IF(H19&gt;0,H19/E28*F28,G19/E28*F28)))</f>
        <v>0</v>
      </c>
      <c r="E28" s="46">
        <v>196</v>
      </c>
      <c r="F28" s="47">
        <v>1</v>
      </c>
      <c r="G28" s="48">
        <f>IF(C28="NOT AVAILABLE",0,ROUND(((MIN(IF(I19&gt;0,I19,IF(H19&gt;0,H19,G19)),C28)*8.8%+MIN(MAX(IF(I19&gt;0,I19,IF(H19&gt;0,H19,G19))-C28,0),M19-C28)*10.4%))*F28/E28,2))</f>
        <v>0</v>
      </c>
      <c r="H28" s="49">
        <v>0</v>
      </c>
      <c r="I28" s="96">
        <f t="shared" si="0"/>
        <v>0</v>
      </c>
      <c r="J28" s="73">
        <v>0</v>
      </c>
      <c r="L28" s="21"/>
      <c r="M28" s="14"/>
      <c r="N28" s="15"/>
    </row>
    <row r="29" spans="1:15" x14ac:dyDescent="0.3">
      <c r="A29" s="2"/>
      <c r="B29" s="2"/>
      <c r="C29" s="50"/>
      <c r="D29" s="51"/>
      <c r="E29" s="1"/>
      <c r="F29" s="2"/>
      <c r="G29" s="52"/>
      <c r="H29" s="2"/>
      <c r="I29" s="97">
        <f>SUM(I23:I28)</f>
        <v>0</v>
      </c>
      <c r="J29" s="72">
        <f>+(J23+J24+J25+J26+J27+J28)*(10.4%)</f>
        <v>0</v>
      </c>
      <c r="L29" s="21"/>
      <c r="M29" s="14"/>
      <c r="N29" s="15"/>
    </row>
    <row r="30" spans="1:15" x14ac:dyDescent="0.3">
      <c r="H30" s="53" t="s">
        <v>21</v>
      </c>
      <c r="I30" s="85">
        <f>I29+J29</f>
        <v>0</v>
      </c>
      <c r="L30" s="21"/>
      <c r="M30" s="14"/>
      <c r="N30" s="15"/>
    </row>
    <row r="31" spans="1:15" x14ac:dyDescent="0.3">
      <c r="H31" s="53" t="s">
        <v>51</v>
      </c>
      <c r="I31" s="73">
        <v>0</v>
      </c>
      <c r="L31" s="21"/>
      <c r="M31" s="14"/>
      <c r="N31" s="15"/>
    </row>
    <row r="32" spans="1:15" x14ac:dyDescent="0.3">
      <c r="H32" s="53" t="s">
        <v>52</v>
      </c>
      <c r="I32" s="85">
        <f>I30-I31</f>
        <v>0</v>
      </c>
      <c r="L32" s="21"/>
      <c r="M32" s="14"/>
      <c r="N32" s="15"/>
    </row>
    <row r="33" spans="1:14" ht="14.4" thickBot="1" x14ac:dyDescent="0.35">
      <c r="L33" s="27"/>
      <c r="M33" s="28"/>
      <c r="N33" s="29"/>
    </row>
    <row r="34" spans="1:14" x14ac:dyDescent="0.3">
      <c r="A34" s="31" t="s">
        <v>47</v>
      </c>
    </row>
    <row r="35" spans="1:14" x14ac:dyDescent="0.3">
      <c r="A35" s="8" t="s">
        <v>32</v>
      </c>
    </row>
    <row r="36" spans="1:14" x14ac:dyDescent="0.3">
      <c r="A36" s="8" t="s">
        <v>33</v>
      </c>
    </row>
    <row r="37" spans="1:14" x14ac:dyDescent="0.3">
      <c r="A37" s="54"/>
      <c r="B37" s="54"/>
      <c r="C37" s="54"/>
      <c r="D37" s="54"/>
      <c r="E37" s="54"/>
      <c r="F37" s="54"/>
      <c r="G37" s="54"/>
      <c r="H37" s="59"/>
      <c r="I37" s="60"/>
      <c r="J37" s="54"/>
    </row>
    <row r="39" spans="1:14" x14ac:dyDescent="0.3">
      <c r="A39" s="1" t="s">
        <v>24</v>
      </c>
      <c r="B39" s="2" t="s">
        <v>44</v>
      </c>
      <c r="D39" s="2"/>
      <c r="E39" s="2"/>
      <c r="F39" s="2"/>
      <c r="G39" s="2"/>
      <c r="H39" s="2"/>
      <c r="I39" s="2"/>
    </row>
    <row r="40" spans="1:14" ht="10.199999999999999" customHeight="1" x14ac:dyDescent="0.3">
      <c r="A40" s="1"/>
      <c r="B40" s="2"/>
      <c r="D40" s="2"/>
      <c r="E40" s="2"/>
      <c r="F40" s="2"/>
      <c r="G40" s="2"/>
      <c r="H40" s="2"/>
      <c r="I40" s="2"/>
    </row>
    <row r="41" spans="1:14" x14ac:dyDescent="0.3">
      <c r="A41" s="2"/>
      <c r="B41" s="55" t="s">
        <v>22</v>
      </c>
      <c r="D41" s="2"/>
      <c r="E41" s="2"/>
      <c r="F41" s="2"/>
      <c r="G41" s="2"/>
      <c r="H41" s="2"/>
      <c r="I41" s="2"/>
    </row>
    <row r="42" spans="1:14" x14ac:dyDescent="0.3">
      <c r="A42" s="2"/>
      <c r="B42" s="2" t="s">
        <v>40</v>
      </c>
      <c r="D42" s="2"/>
      <c r="E42" s="2"/>
      <c r="F42" s="2"/>
      <c r="G42" s="2"/>
      <c r="H42" s="2"/>
      <c r="I42" s="2"/>
    </row>
    <row r="43" spans="1:14" ht="15" x14ac:dyDescent="0.3">
      <c r="A43" s="2"/>
      <c r="B43" s="2" t="s">
        <v>65</v>
      </c>
      <c r="D43" s="2"/>
      <c r="E43" s="2"/>
      <c r="F43" s="2"/>
      <c r="G43" s="2"/>
      <c r="H43" s="2"/>
      <c r="I43" s="2"/>
    </row>
    <row r="44" spans="1:14" x14ac:dyDescent="0.3">
      <c r="A44" s="2"/>
      <c r="B44" s="2" t="s">
        <v>41</v>
      </c>
      <c r="D44" s="2"/>
      <c r="E44" s="2"/>
      <c r="F44" s="2"/>
      <c r="G44" s="2"/>
      <c r="H44" s="2"/>
      <c r="I44" s="2"/>
    </row>
    <row r="45" spans="1:14" x14ac:dyDescent="0.3">
      <c r="A45" s="2"/>
      <c r="B45" s="2" t="s">
        <v>35</v>
      </c>
      <c r="D45" s="2"/>
      <c r="E45" s="2"/>
      <c r="F45" s="2"/>
      <c r="G45" s="2"/>
      <c r="H45" s="2"/>
      <c r="I45" s="2"/>
    </row>
    <row r="46" spans="1:14" x14ac:dyDescent="0.3">
      <c r="A46" s="2"/>
      <c r="B46" s="2" t="s">
        <v>36</v>
      </c>
      <c r="D46" s="2"/>
      <c r="E46" s="2"/>
      <c r="F46" s="2"/>
      <c r="G46" s="2"/>
      <c r="H46" s="2"/>
      <c r="I46" s="2"/>
    </row>
    <row r="47" spans="1:14" x14ac:dyDescent="0.3">
      <c r="A47" s="2"/>
      <c r="B47" s="2"/>
      <c r="D47" s="2"/>
      <c r="E47" s="2"/>
      <c r="F47" s="2"/>
      <c r="G47" s="2"/>
      <c r="H47" s="2"/>
      <c r="I47" s="2"/>
    </row>
    <row r="48" spans="1:14" x14ac:dyDescent="0.3">
      <c r="A48" s="31"/>
      <c r="B48" s="31"/>
      <c r="C48" s="2"/>
      <c r="D48" s="31"/>
      <c r="F48" s="2"/>
      <c r="G48" s="2"/>
      <c r="H48" s="2"/>
    </row>
    <row r="49" spans="1:10" x14ac:dyDescent="0.3">
      <c r="A49" s="31" t="s">
        <v>2</v>
      </c>
      <c r="B49" s="20"/>
      <c r="C49" s="20"/>
      <c r="D49" s="62" t="s">
        <v>27</v>
      </c>
      <c r="E49" s="62" t="s">
        <v>27</v>
      </c>
      <c r="F49" s="62" t="s">
        <v>20</v>
      </c>
      <c r="G49" s="64" t="s">
        <v>30</v>
      </c>
    </row>
    <row r="50" spans="1:10" x14ac:dyDescent="0.3">
      <c r="A50" s="20"/>
      <c r="B50" s="20"/>
      <c r="C50" s="20"/>
      <c r="D50" s="63" t="s">
        <v>28</v>
      </c>
      <c r="E50" s="63" t="s">
        <v>29</v>
      </c>
      <c r="F50" s="63" t="s">
        <v>28</v>
      </c>
      <c r="G50" s="65" t="s">
        <v>29</v>
      </c>
    </row>
    <row r="51" spans="1:10" x14ac:dyDescent="0.3">
      <c r="A51" s="2"/>
      <c r="B51" s="31"/>
      <c r="C51" s="2"/>
      <c r="D51" s="86">
        <v>80000</v>
      </c>
      <c r="E51" s="86">
        <v>0</v>
      </c>
      <c r="F51" s="86">
        <v>80000</v>
      </c>
      <c r="G51" s="87">
        <v>0</v>
      </c>
      <c r="H51" s="2"/>
    </row>
    <row r="52" spans="1:10" ht="10.199999999999999" customHeight="1" x14ac:dyDescent="0.3">
      <c r="A52" s="31"/>
      <c r="B52" s="31"/>
    </row>
    <row r="53" spans="1:10" x14ac:dyDescent="0.3">
      <c r="A53" s="32" t="s">
        <v>3</v>
      </c>
      <c r="B53" s="33" t="s">
        <v>4</v>
      </c>
      <c r="C53" s="34"/>
      <c r="D53" s="35" t="s">
        <v>6</v>
      </c>
      <c r="E53" s="35" t="s">
        <v>7</v>
      </c>
      <c r="F53" s="35" t="s">
        <v>8</v>
      </c>
      <c r="G53" s="35" t="s">
        <v>9</v>
      </c>
      <c r="H53" s="36" t="s">
        <v>10</v>
      </c>
      <c r="I53" s="74" t="s">
        <v>9</v>
      </c>
      <c r="J53" s="76" t="s">
        <v>11</v>
      </c>
    </row>
    <row r="54" spans="1:10" x14ac:dyDescent="0.3">
      <c r="A54" s="37"/>
      <c r="B54" s="38" t="s">
        <v>12</v>
      </c>
      <c r="C54" s="39" t="s">
        <v>5</v>
      </c>
      <c r="D54" s="40" t="s">
        <v>13</v>
      </c>
      <c r="E54" s="40" t="s">
        <v>14</v>
      </c>
      <c r="F54" s="40" t="s">
        <v>15</v>
      </c>
      <c r="G54" s="40" t="s">
        <v>16</v>
      </c>
      <c r="H54" s="41" t="s">
        <v>17</v>
      </c>
      <c r="I54" s="75" t="s">
        <v>31</v>
      </c>
      <c r="J54" s="77" t="s">
        <v>18</v>
      </c>
    </row>
    <row r="55" spans="1:10" x14ac:dyDescent="0.3">
      <c r="A55" s="42" t="s">
        <v>19</v>
      </c>
      <c r="B55" s="43">
        <v>2020</v>
      </c>
      <c r="C55" s="44">
        <f>IF(ISNA(VLOOKUP(B55,TABLES!$B$4:$D$30,2,FALSE)),"NOT AVAILABLE",VLOOKUP(B55,TABLES!$B$4:$D$30,2,FALSE))</f>
        <v>58700</v>
      </c>
      <c r="D55" s="45">
        <f>D51/E55*F55</f>
        <v>204.08163265306123</v>
      </c>
      <c r="E55" s="56">
        <v>196</v>
      </c>
      <c r="F55" s="57">
        <v>0.5</v>
      </c>
      <c r="G55" s="48">
        <f>ROUND(((MIN(D51,C55)*8.8%+MAX(D51-C55,0)*10.4%))*F55/E55,2)</f>
        <v>18.829999999999998</v>
      </c>
      <c r="H55" s="58">
        <v>42</v>
      </c>
      <c r="I55" s="96">
        <f>(G55*H55)</f>
        <v>790.8599999999999</v>
      </c>
      <c r="J55" s="91">
        <v>0</v>
      </c>
    </row>
    <row r="56" spans="1:10" x14ac:dyDescent="0.3">
      <c r="A56" s="42" t="s">
        <v>19</v>
      </c>
      <c r="B56" s="43">
        <v>2020</v>
      </c>
      <c r="C56" s="44">
        <f>IF(ISNA(VLOOKUP(B56,TABLES!$B$4:$D$30,2,FALSE)),"NOT AVAILABLE",VLOOKUP(B56,TABLES!$B$4:$D$30,2,FALSE))</f>
        <v>58700</v>
      </c>
      <c r="D56" s="45">
        <f>IF(E51&gt;0,E51/E56*F56,D51/E56*F56)</f>
        <v>408.16326530612247</v>
      </c>
      <c r="E56" s="56">
        <v>196</v>
      </c>
      <c r="F56" s="57">
        <v>1</v>
      </c>
      <c r="G56" s="48">
        <f>ROUND(((MIN(D51,C56)*8.8%+MAX(D51-C56,0)*10.4%))*F56/E56,2)</f>
        <v>37.659999999999997</v>
      </c>
      <c r="H56" s="58">
        <v>35</v>
      </c>
      <c r="I56" s="96">
        <f>(G56*H56)</f>
        <v>1318.1</v>
      </c>
      <c r="J56" s="91">
        <v>0</v>
      </c>
    </row>
    <row r="57" spans="1:10" x14ac:dyDescent="0.3">
      <c r="A57" s="42" t="s">
        <v>20</v>
      </c>
      <c r="B57" s="43">
        <v>2021</v>
      </c>
      <c r="C57" s="44">
        <f>IF(ISNA(VLOOKUP(B57,TABLES!$B$4:$D$30,2,FALSE)),"NOT AVAILABLE",VLOOKUP(B57,TABLES!$B$4:$D$30,2,FALSE))</f>
        <v>61600</v>
      </c>
      <c r="D57" s="45">
        <f>IF(C57="NOT AVAILABLE",0,F51/E57*F57)</f>
        <v>408.16326530612247</v>
      </c>
      <c r="E57" s="56">
        <v>196</v>
      </c>
      <c r="F57" s="57">
        <v>1</v>
      </c>
      <c r="G57" s="48">
        <f>IF(C57="NOT AVAILABLE",0,ROUND(((MIN(F51,C57)*8.8%+MAX(F51-C57,0)*10.4%))*F57/E57,2))</f>
        <v>37.42</v>
      </c>
      <c r="H57" s="58">
        <v>59</v>
      </c>
      <c r="I57" s="96">
        <f>(G57*H57)</f>
        <v>2207.7800000000002</v>
      </c>
      <c r="J57" s="91">
        <v>120</v>
      </c>
    </row>
    <row r="58" spans="1:10" x14ac:dyDescent="0.3">
      <c r="A58" s="42" t="s">
        <v>20</v>
      </c>
      <c r="B58" s="43">
        <v>2021</v>
      </c>
      <c r="C58" s="44">
        <f>IF(ISNA(VLOOKUP(B58,TABLES!$B$4:$D$30,2,FALSE)),"NOT AVAILABLE",VLOOKUP(B58,TABLES!$B$4:$D$30,2,FALSE))</f>
        <v>61600</v>
      </c>
      <c r="D58" s="45">
        <f>IF(C58="NOT AVAILABLE",0,IF(G51&gt;0,G51/E58*F58,F51/E58*F58))</f>
        <v>408.16326530612247</v>
      </c>
      <c r="E58" s="56">
        <v>196</v>
      </c>
      <c r="F58" s="57">
        <v>1</v>
      </c>
      <c r="G58" s="48">
        <f>IF(C58="NOT AVAILABLE",0,ROUND(((MIN(G51,C58)*8.8%+MAX(G51-C58,0)*10.4%))*F58/E58,2))</f>
        <v>0</v>
      </c>
      <c r="H58" s="58">
        <v>0</v>
      </c>
      <c r="I58" s="96">
        <f>(G58*H58)</f>
        <v>0</v>
      </c>
      <c r="J58" s="91">
        <v>0</v>
      </c>
    </row>
    <row r="59" spans="1:10" x14ac:dyDescent="0.3">
      <c r="A59" s="2"/>
      <c r="B59" s="2"/>
      <c r="C59" s="50"/>
      <c r="D59" s="51"/>
      <c r="E59" s="1"/>
      <c r="F59" s="2"/>
      <c r="G59" s="52"/>
      <c r="H59" s="2"/>
      <c r="I59" s="97">
        <f>SUM(I55:I58)</f>
        <v>4316.74</v>
      </c>
      <c r="J59" s="72">
        <f>+(J55+J56+J57+J58)*(10.4%)</f>
        <v>12.48</v>
      </c>
    </row>
    <row r="60" spans="1:10" x14ac:dyDescent="0.3">
      <c r="H60" s="53" t="s">
        <v>21</v>
      </c>
      <c r="I60" s="85">
        <f>I59+J59</f>
        <v>4329.2199999999993</v>
      </c>
    </row>
    <row r="61" spans="1:10" x14ac:dyDescent="0.3">
      <c r="A61" s="54"/>
      <c r="B61" s="54"/>
      <c r="C61" s="54"/>
      <c r="D61" s="54"/>
      <c r="E61" s="54"/>
      <c r="F61" s="54"/>
      <c r="G61" s="54"/>
      <c r="H61" s="59"/>
      <c r="I61" s="60"/>
      <c r="J61" s="54"/>
    </row>
    <row r="62" spans="1:10" x14ac:dyDescent="0.3">
      <c r="H62" s="53"/>
      <c r="I62" s="31"/>
    </row>
    <row r="63" spans="1:10" x14ac:dyDescent="0.3">
      <c r="A63" s="1" t="s">
        <v>24</v>
      </c>
      <c r="B63" s="2" t="s">
        <v>48</v>
      </c>
      <c r="D63" s="2"/>
      <c r="E63" s="2"/>
      <c r="F63" s="2"/>
      <c r="G63" s="2"/>
      <c r="H63" s="2"/>
      <c r="I63" s="2"/>
    </row>
    <row r="64" spans="1:10" ht="10.199999999999999" customHeight="1" x14ac:dyDescent="0.3">
      <c r="A64" s="1"/>
      <c r="B64" s="2"/>
      <c r="D64" s="2"/>
      <c r="E64" s="2"/>
      <c r="F64" s="2"/>
      <c r="G64" s="2"/>
      <c r="H64" s="2"/>
      <c r="I64" s="2"/>
    </row>
    <row r="65" spans="1:10" x14ac:dyDescent="0.3">
      <c r="A65" s="2"/>
      <c r="B65" s="2" t="s">
        <v>23</v>
      </c>
      <c r="D65" s="2"/>
      <c r="E65" s="2"/>
      <c r="F65" s="2"/>
      <c r="G65" s="2"/>
      <c r="H65" s="2"/>
      <c r="I65" s="2"/>
    </row>
    <row r="66" spans="1:10" x14ac:dyDescent="0.3">
      <c r="A66" s="2"/>
      <c r="B66" s="2" t="s">
        <v>42</v>
      </c>
      <c r="D66" s="2"/>
      <c r="E66" s="2"/>
      <c r="F66" s="2"/>
      <c r="G66" s="2"/>
      <c r="H66" s="2"/>
      <c r="I66" s="2"/>
    </row>
    <row r="67" spans="1:10" ht="15" x14ac:dyDescent="0.3">
      <c r="A67" s="2"/>
      <c r="B67" s="2" t="s">
        <v>66</v>
      </c>
      <c r="D67" s="2"/>
      <c r="E67" s="2"/>
      <c r="F67" s="2"/>
      <c r="G67" s="2"/>
      <c r="H67" s="2"/>
      <c r="I67" s="2"/>
    </row>
    <row r="68" spans="1:10" x14ac:dyDescent="0.3">
      <c r="A68" s="2"/>
      <c r="B68" s="2" t="s">
        <v>49</v>
      </c>
      <c r="D68" s="2"/>
      <c r="E68" s="2"/>
      <c r="F68" s="2"/>
      <c r="G68" s="2"/>
      <c r="H68" s="2"/>
      <c r="I68" s="2"/>
    </row>
    <row r="69" spans="1:10" x14ac:dyDescent="0.3">
      <c r="A69" s="2"/>
      <c r="B69" s="2" t="s">
        <v>37</v>
      </c>
      <c r="D69" s="2"/>
      <c r="E69" s="2"/>
      <c r="F69" s="2"/>
      <c r="G69" s="2"/>
      <c r="H69" s="2"/>
      <c r="I69" s="2"/>
    </row>
    <row r="70" spans="1:10" ht="10.199999999999999" customHeight="1" x14ac:dyDescent="0.3">
      <c r="A70" s="31"/>
      <c r="B70" s="31"/>
      <c r="C70" s="2"/>
      <c r="D70" s="31"/>
      <c r="F70" s="2"/>
      <c r="G70" s="2"/>
      <c r="H70" s="2"/>
    </row>
    <row r="71" spans="1:10" x14ac:dyDescent="0.3">
      <c r="A71" s="31" t="s">
        <v>2</v>
      </c>
      <c r="B71" s="20"/>
      <c r="C71" s="20"/>
      <c r="D71" s="62" t="s">
        <v>27</v>
      </c>
      <c r="E71" s="62" t="s">
        <v>27</v>
      </c>
      <c r="F71" s="62" t="s">
        <v>20</v>
      </c>
      <c r="G71" s="64" t="s">
        <v>30</v>
      </c>
    </row>
    <row r="72" spans="1:10" x14ac:dyDescent="0.3">
      <c r="A72" s="20"/>
      <c r="B72" s="20"/>
      <c r="C72" s="20"/>
      <c r="D72" s="63" t="s">
        <v>28</v>
      </c>
      <c r="E72" s="63" t="s">
        <v>29</v>
      </c>
      <c r="F72" s="63" t="s">
        <v>28</v>
      </c>
      <c r="G72" s="65" t="s">
        <v>29</v>
      </c>
    </row>
    <row r="73" spans="1:10" x14ac:dyDescent="0.3">
      <c r="A73" s="2"/>
      <c r="B73" s="31"/>
      <c r="C73" s="2"/>
      <c r="D73" s="86">
        <v>0</v>
      </c>
      <c r="E73" s="86">
        <v>0</v>
      </c>
      <c r="F73" s="86">
        <v>80000</v>
      </c>
      <c r="G73" s="87">
        <v>82500</v>
      </c>
      <c r="H73" s="2"/>
    </row>
    <row r="74" spans="1:10" ht="10.199999999999999" customHeight="1" x14ac:dyDescent="0.3">
      <c r="A74" s="31"/>
      <c r="B74" s="31"/>
    </row>
    <row r="75" spans="1:10" x14ac:dyDescent="0.3">
      <c r="A75" s="32" t="s">
        <v>3</v>
      </c>
      <c r="B75" s="33" t="s">
        <v>4</v>
      </c>
      <c r="C75" s="34"/>
      <c r="D75" s="35" t="s">
        <v>6</v>
      </c>
      <c r="E75" s="35" t="s">
        <v>7</v>
      </c>
      <c r="F75" s="35" t="s">
        <v>8</v>
      </c>
      <c r="G75" s="35" t="s">
        <v>9</v>
      </c>
      <c r="H75" s="36" t="s">
        <v>10</v>
      </c>
      <c r="I75" s="74" t="s">
        <v>9</v>
      </c>
      <c r="J75" s="76" t="s">
        <v>11</v>
      </c>
    </row>
    <row r="76" spans="1:10" x14ac:dyDescent="0.3">
      <c r="A76" s="37"/>
      <c r="B76" s="38" t="s">
        <v>12</v>
      </c>
      <c r="C76" s="39" t="s">
        <v>5</v>
      </c>
      <c r="D76" s="40" t="s">
        <v>13</v>
      </c>
      <c r="E76" s="40" t="s">
        <v>14</v>
      </c>
      <c r="F76" s="40" t="s">
        <v>15</v>
      </c>
      <c r="G76" s="40" t="s">
        <v>16</v>
      </c>
      <c r="H76" s="41" t="s">
        <v>17</v>
      </c>
      <c r="I76" s="75" t="s">
        <v>31</v>
      </c>
      <c r="J76" s="77" t="s">
        <v>18</v>
      </c>
    </row>
    <row r="77" spans="1:10" x14ac:dyDescent="0.3">
      <c r="A77" s="42" t="s">
        <v>19</v>
      </c>
      <c r="B77" s="43">
        <v>2019</v>
      </c>
      <c r="C77" s="44">
        <f>IF(ISNA(VLOOKUP(B77,TABLES!$B$4:$D$30,2,FALSE)),"NOT AVAILABLE",VLOOKUP(B77,TABLES!$B$4:$D$30,2,FALSE))</f>
        <v>57400</v>
      </c>
      <c r="D77" s="45">
        <f>D73/E77*F77</f>
        <v>0</v>
      </c>
      <c r="E77" s="56">
        <v>196</v>
      </c>
      <c r="F77" s="57">
        <v>1</v>
      </c>
      <c r="G77" s="48">
        <f>ROUND(((MIN(D73,C77)*8.8%+MAX(D73-C77,0)*10.4%))*F77/E77,2)</f>
        <v>0</v>
      </c>
      <c r="H77" s="58">
        <v>0</v>
      </c>
      <c r="I77" s="96">
        <f>(G77*H77)</f>
        <v>0</v>
      </c>
      <c r="J77" s="91">
        <v>0</v>
      </c>
    </row>
    <row r="78" spans="1:10" x14ac:dyDescent="0.3">
      <c r="A78" s="42" t="s">
        <v>19</v>
      </c>
      <c r="B78" s="43">
        <v>2019</v>
      </c>
      <c r="C78" s="44">
        <f>IF(ISNA(VLOOKUP(B78,TABLES!$B$4:$D$30,2,FALSE)),"NOT AVAILABLE",VLOOKUP(B78,TABLES!$B$4:$D$30,2,FALSE))</f>
        <v>57400</v>
      </c>
      <c r="D78" s="45">
        <f>IF(E73&gt;0,E73/E78*F78,D73/E78*F78)</f>
        <v>0</v>
      </c>
      <c r="E78" s="56">
        <v>196</v>
      </c>
      <c r="F78" s="57">
        <v>1</v>
      </c>
      <c r="G78" s="48">
        <f>ROUND(((MIN(D73,C78)*8.8%+MAX(D73-C78,0)*10.4%))*F78/E78,2)</f>
        <v>0</v>
      </c>
      <c r="H78" s="58">
        <v>0</v>
      </c>
      <c r="I78" s="96">
        <f>(G78*H78)</f>
        <v>0</v>
      </c>
      <c r="J78" s="91">
        <v>0</v>
      </c>
    </row>
    <row r="79" spans="1:10" x14ac:dyDescent="0.3">
      <c r="A79" s="42" t="s">
        <v>20</v>
      </c>
      <c r="B79" s="43">
        <v>2020</v>
      </c>
      <c r="C79" s="44">
        <f>IF(ISNA(VLOOKUP(B79,TABLES!$B$4:$D$30,2,FALSE)),"NOT AVAILABLE",VLOOKUP(B79,TABLES!$B$4:$D$30,2,FALSE))</f>
        <v>58700</v>
      </c>
      <c r="D79" s="45">
        <f>IF(C79="NOT AVAILABLE",0,F73/E79*F79)</f>
        <v>408.16326530612247</v>
      </c>
      <c r="E79" s="56">
        <v>196</v>
      </c>
      <c r="F79" s="57">
        <v>1</v>
      </c>
      <c r="G79" s="48">
        <f>IF(C79="NOT AVAILABLE",0,ROUND(((MIN(F73,C79)*8.8%+MAX(F73-C79,0)*10.4%))*F79/E79,2))</f>
        <v>37.659999999999997</v>
      </c>
      <c r="H79" s="58">
        <v>39</v>
      </c>
      <c r="I79" s="96">
        <f>(G79*H79)</f>
        <v>1468.7399999999998</v>
      </c>
      <c r="J79" s="91">
        <v>0</v>
      </c>
    </row>
    <row r="80" spans="1:10" x14ac:dyDescent="0.3">
      <c r="A80" s="42" t="s">
        <v>20</v>
      </c>
      <c r="B80" s="43">
        <v>2020</v>
      </c>
      <c r="C80" s="44">
        <f>IF(ISNA(VLOOKUP(B80,TABLES!$B$4:$D$30,2,FALSE)),"NOT AVAILABLE",VLOOKUP(B80,TABLES!$B$4:$D$30,2,FALSE))</f>
        <v>58700</v>
      </c>
      <c r="D80" s="45">
        <f>IF(C80="NOT AVAILABLE",0,IF(G73&gt;0,G73/E80*F80,F73/E80*F80))</f>
        <v>420.91836734693879</v>
      </c>
      <c r="E80" s="56">
        <v>196</v>
      </c>
      <c r="F80" s="57">
        <v>1</v>
      </c>
      <c r="G80" s="48">
        <f>IF(C80="NOT AVAILABLE",0,ROUND(((MIN(G73,C80)*8.8%+MAX(G73-C80,0)*10.4%))*F80/E80,2))</f>
        <v>38.979999999999997</v>
      </c>
      <c r="H80" s="58">
        <v>60</v>
      </c>
      <c r="I80" s="96">
        <f>(G80*H80)</f>
        <v>2338.7999999999997</v>
      </c>
      <c r="J80" s="91">
        <v>0</v>
      </c>
    </row>
    <row r="81" spans="1:10" x14ac:dyDescent="0.3">
      <c r="A81" s="2"/>
      <c r="B81" s="2"/>
      <c r="C81" s="50"/>
      <c r="D81" s="51"/>
      <c r="E81" s="1"/>
      <c r="F81" s="2"/>
      <c r="G81" s="52"/>
      <c r="H81" s="2"/>
      <c r="I81" s="97">
        <f>SUM(I77:I80)</f>
        <v>3807.5399999999995</v>
      </c>
      <c r="J81" s="72">
        <f>+(J77+J78+J79+J80)*(10.4%)</f>
        <v>0</v>
      </c>
    </row>
    <row r="82" spans="1:10" x14ac:dyDescent="0.3">
      <c r="H82" s="53" t="s">
        <v>21</v>
      </c>
      <c r="I82" s="85">
        <f>I81+J81</f>
        <v>3807.5399999999995</v>
      </c>
    </row>
    <row r="83" spans="1:10" x14ac:dyDescent="0.3">
      <c r="A83" s="54"/>
      <c r="B83" s="54"/>
      <c r="C83" s="54"/>
      <c r="D83" s="54"/>
      <c r="E83" s="54"/>
      <c r="F83" s="54"/>
      <c r="G83" s="54"/>
      <c r="H83" s="59"/>
      <c r="I83" s="60"/>
      <c r="J83" s="54"/>
    </row>
  </sheetData>
  <sheetProtection password="DB65" sheet="1"/>
  <mergeCells count="2">
    <mergeCell ref="L16:N16"/>
    <mergeCell ref="L17:N17"/>
  </mergeCells>
  <pageMargins left="0.35" right="0.35" top="1.0249999999999999" bottom="1.0249999999999999" header="0.78749999999999998" footer="0.78749999999999998"/>
  <pageSetup scale="74" fitToHeight="4" orientation="landscape" useFirstPageNumber="1" horizontalDpi="300" verticalDpi="300" r:id="rId1"/>
  <headerFooter alignWithMargins="0">
    <oddFooter>&amp;CPage &amp;P</oddFooter>
  </headerFooter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0BE83-89B2-4C73-8EE5-B2130D21A64B}">
  <dimension ref="A1:D26"/>
  <sheetViews>
    <sheetView showGridLines="0" workbookViewId="0">
      <pane ySplit="3" topLeftCell="A4" activePane="bottomLeft" state="frozen"/>
      <selection pane="bottomLeft"/>
    </sheetView>
  </sheetViews>
  <sheetFormatPr defaultColWidth="8.77734375" defaultRowHeight="13.8" x14ac:dyDescent="0.3"/>
  <cols>
    <col min="1" max="1" width="3.77734375" style="2" customWidth="1"/>
    <col min="2" max="2" width="6.77734375" style="2" customWidth="1"/>
    <col min="3" max="4" width="12.44140625" style="2" customWidth="1"/>
    <col min="5" max="16384" width="8.77734375" style="2"/>
  </cols>
  <sheetData>
    <row r="1" spans="1:4" x14ac:dyDescent="0.3">
      <c r="A1" s="1" t="s">
        <v>45</v>
      </c>
    </row>
    <row r="3" spans="1:4" x14ac:dyDescent="0.3">
      <c r="B3" s="3" t="s">
        <v>12</v>
      </c>
      <c r="C3" s="3" t="s">
        <v>5</v>
      </c>
      <c r="D3" s="3" t="s">
        <v>46</v>
      </c>
    </row>
    <row r="4" spans="1:4" x14ac:dyDescent="0.3">
      <c r="B4" s="4">
        <v>2007</v>
      </c>
      <c r="C4" s="5">
        <v>43700</v>
      </c>
      <c r="D4" s="6"/>
    </row>
    <row r="5" spans="1:4" x14ac:dyDescent="0.3">
      <c r="B5" s="4">
        <v>2008</v>
      </c>
      <c r="C5" s="5">
        <v>44900</v>
      </c>
      <c r="D5" s="6"/>
    </row>
    <row r="6" spans="1:4" x14ac:dyDescent="0.3">
      <c r="B6" s="4">
        <v>2009</v>
      </c>
      <c r="C6" s="5">
        <v>46300</v>
      </c>
      <c r="D6" s="6"/>
    </row>
    <row r="7" spans="1:4" x14ac:dyDescent="0.3">
      <c r="B7" s="4">
        <v>2010</v>
      </c>
      <c r="C7" s="5">
        <v>47200</v>
      </c>
      <c r="D7" s="6"/>
    </row>
    <row r="8" spans="1:4" x14ac:dyDescent="0.3">
      <c r="B8" s="4">
        <v>2011</v>
      </c>
      <c r="C8" s="5">
        <v>48300</v>
      </c>
      <c r="D8" s="6"/>
    </row>
    <row r="9" spans="1:4" x14ac:dyDescent="0.3">
      <c r="B9" s="4">
        <v>2012</v>
      </c>
      <c r="C9" s="5">
        <v>50100</v>
      </c>
      <c r="D9" s="6"/>
    </row>
    <row r="10" spans="1:4" x14ac:dyDescent="0.3">
      <c r="B10" s="4">
        <v>2013</v>
      </c>
      <c r="C10" s="5">
        <v>51100</v>
      </c>
      <c r="D10" s="6"/>
    </row>
    <row r="11" spans="1:4" x14ac:dyDescent="0.3">
      <c r="B11" s="4">
        <v>2014</v>
      </c>
      <c r="C11" s="5">
        <v>52500</v>
      </c>
      <c r="D11" s="6"/>
    </row>
    <row r="12" spans="1:4" x14ac:dyDescent="0.3">
      <c r="B12" s="4">
        <v>2015</v>
      </c>
      <c r="C12" s="5">
        <v>53600</v>
      </c>
      <c r="D12" s="6"/>
    </row>
    <row r="13" spans="1:4" x14ac:dyDescent="0.3">
      <c r="B13" s="4">
        <v>2016</v>
      </c>
      <c r="C13" s="5">
        <v>54900</v>
      </c>
      <c r="D13" s="6"/>
    </row>
    <row r="14" spans="1:4" x14ac:dyDescent="0.3">
      <c r="B14" s="4">
        <v>2017</v>
      </c>
      <c r="C14" s="5">
        <v>55300</v>
      </c>
      <c r="D14" s="5">
        <v>162312</v>
      </c>
    </row>
    <row r="15" spans="1:4" x14ac:dyDescent="0.3">
      <c r="B15" s="4">
        <v>2018</v>
      </c>
      <c r="C15" s="5">
        <v>55900</v>
      </c>
      <c r="D15" s="5">
        <v>163992</v>
      </c>
    </row>
    <row r="16" spans="1:4" x14ac:dyDescent="0.3">
      <c r="B16" s="4">
        <v>2019</v>
      </c>
      <c r="C16" s="5">
        <v>57400</v>
      </c>
      <c r="D16" s="5">
        <v>168498</v>
      </c>
    </row>
    <row r="17" spans="2:4" x14ac:dyDescent="0.3">
      <c r="B17" s="4">
        <v>2020</v>
      </c>
      <c r="C17" s="5">
        <v>58700</v>
      </c>
      <c r="D17" s="5">
        <v>172220.99999999997</v>
      </c>
    </row>
    <row r="18" spans="2:4" x14ac:dyDescent="0.3">
      <c r="B18" s="4">
        <v>2021</v>
      </c>
      <c r="C18" s="5">
        <v>61600</v>
      </c>
      <c r="D18" s="5">
        <v>180758</v>
      </c>
    </row>
    <row r="19" spans="2:4" x14ac:dyDescent="0.3">
      <c r="B19" s="4">
        <v>2022</v>
      </c>
      <c r="C19" s="5">
        <v>64900</v>
      </c>
      <c r="D19" s="5">
        <v>190470</v>
      </c>
    </row>
    <row r="20" spans="2:4" x14ac:dyDescent="0.3">
      <c r="B20" s="4">
        <v>2023</v>
      </c>
      <c r="C20" s="5">
        <v>66600</v>
      </c>
      <c r="D20" s="5">
        <v>195313</v>
      </c>
    </row>
    <row r="21" spans="2:4" x14ac:dyDescent="0.3">
      <c r="B21" s="4">
        <v>2024</v>
      </c>
      <c r="C21" s="5">
        <v>68500</v>
      </c>
      <c r="D21" s="5">
        <v>201050</v>
      </c>
    </row>
    <row r="22" spans="2:4" x14ac:dyDescent="0.3">
      <c r="B22" s="4">
        <v>2025</v>
      </c>
      <c r="C22" s="5">
        <v>71300</v>
      </c>
      <c r="D22" s="5">
        <v>209223</v>
      </c>
    </row>
    <row r="23" spans="2:4" x14ac:dyDescent="0.3">
      <c r="B23" s="4"/>
      <c r="C23" s="5"/>
      <c r="D23" s="5"/>
    </row>
    <row r="24" spans="2:4" x14ac:dyDescent="0.3">
      <c r="B24" s="4"/>
      <c r="C24" s="5"/>
      <c r="D24" s="5"/>
    </row>
    <row r="25" spans="2:4" x14ac:dyDescent="0.3">
      <c r="B25" s="4"/>
      <c r="C25" s="5"/>
      <c r="D25" s="5"/>
    </row>
    <row r="26" spans="2:4" x14ac:dyDescent="0.3">
      <c r="B26" s="4"/>
      <c r="C26" s="5"/>
      <c r="D26" s="5"/>
    </row>
  </sheetData>
  <sheetProtection algorithmName="SHA-512" hashValue="AH9gC2unNHtvj43k+m4NzHL3/bmNsDFX9TcgPb5rpJMCrfFuVHkH9Qg/RMWChFmqrpT/Z19k9OYVHT5LgdJjEQ==" saltValue="4zVwXVE+4Hatt6S/DqIoj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2025-2026</vt:lpstr>
      <vt:lpstr>2024-2025</vt:lpstr>
      <vt:lpstr>2023-2024</vt:lpstr>
      <vt:lpstr>2022-2023</vt:lpstr>
      <vt:lpstr>2021-2022</vt:lpstr>
      <vt:lpstr>2020-2021</vt:lpstr>
      <vt:lpstr>TABLES</vt:lpstr>
      <vt:lpstr>'2021-2022'!Print_Area</vt:lpstr>
      <vt:lpstr>'2022-2023'!Print_Area</vt:lpstr>
      <vt:lpstr>'2023-2024'!Print_Area</vt:lpstr>
      <vt:lpstr>'2024-2025'!Print_Area</vt:lpstr>
      <vt:lpstr>'2025-2026'!Print_Area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Sierra Warman</cp:lastModifiedBy>
  <cp:lastPrinted>2024-08-07T16:41:59Z</cp:lastPrinted>
  <dcterms:created xsi:type="dcterms:W3CDTF">2011-04-04T18:17:11Z</dcterms:created>
  <dcterms:modified xsi:type="dcterms:W3CDTF">2025-08-05T14:53:55Z</dcterms:modified>
</cp:coreProperties>
</file>